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00" windowHeight="7950"/>
  </bookViews>
  <sheets>
    <sheet name="2" sheetId="1" r:id="rId1"/>
    <sheet name="10" sheetId="2" state="hidden" r:id="rId2"/>
    <sheet name="11" sheetId="3" state="hidden" r:id="rId3"/>
    <sheet name="12" sheetId="4" state="hidden" r:id="rId4"/>
    <sheet name="13" sheetId="5" state="hidden" r:id="rId5"/>
    <sheet name="公式模板" sheetId="6" state="hidden" r:id="rId6"/>
    <sheet name="RD" sheetId="7" state="hidden" r:id="rId7"/>
    <sheet name="Sheet13" sheetId="8" state="hidden" r:id="rId8"/>
  </sheets>
  <definedNames>
    <definedName name="_xlnm._FilterDatabase" localSheetId="1" hidden="1">'10'!$A$4:$Z$78</definedName>
    <definedName name="_xlnm._FilterDatabase" localSheetId="2" hidden="1">'11'!$A$4:$X$78</definedName>
    <definedName name="_xlnm._FilterDatabase" localSheetId="3" hidden="1">'12'!$A$4:$Y$78</definedName>
    <definedName name="_xlnm._FilterDatabase" localSheetId="4" hidden="1">'13'!$A$4:$Y$78</definedName>
    <definedName name="_xlnm._FilterDatabase" localSheetId="0" hidden="1">'2'!$A$4:$Y$95</definedName>
  </definedNames>
  <calcPr calcId="144525"/>
</workbook>
</file>

<file path=xl/sharedStrings.xml><?xml version="1.0" encoding="utf-8"?>
<sst xmlns="http://schemas.openxmlformats.org/spreadsheetml/2006/main" count="259">
  <si>
    <t>XXXXXX有限公司202X年研究开发费用台账</t>
  </si>
  <si>
    <t>2020年1月--2020年12月</t>
  </si>
  <si>
    <t>合计</t>
  </si>
  <si>
    <t>2020年</t>
  </si>
  <si>
    <t>凭证号</t>
  </si>
  <si>
    <t>摘要</t>
  </si>
  <si>
    <t>费用项目</t>
  </si>
  <si>
    <t>RD01一种XXXX的研发</t>
  </si>
  <si>
    <t>RD02一种XXXX的研发</t>
  </si>
  <si>
    <t>RD03一种XXXX的研发</t>
  </si>
  <si>
    <t>RD04一种XXXX的研发</t>
  </si>
  <si>
    <t>RD05一种XXXX的研发</t>
  </si>
  <si>
    <t>RD06一种XXXX的研发</t>
  </si>
  <si>
    <t>RD07一种XXXX的研发</t>
  </si>
  <si>
    <t>RD08一种XXXX的研发</t>
  </si>
  <si>
    <t>RD09一种XXXX的研发</t>
  </si>
  <si>
    <t>RD10一种XXXX的研发</t>
  </si>
  <si>
    <t>RD11一种XXXX的研发</t>
  </si>
  <si>
    <t>RD12一种XXXX的研发</t>
  </si>
  <si>
    <t>RD13一种XXXX的研发</t>
  </si>
  <si>
    <t>RD14一种XXXX的研发</t>
  </si>
  <si>
    <t>RD15一种XXXX的研发</t>
  </si>
  <si>
    <t>人员人工</t>
  </si>
  <si>
    <t>直接投入</t>
  </si>
  <si>
    <t>折旧</t>
  </si>
  <si>
    <t>其他</t>
  </si>
  <si>
    <t>月</t>
  </si>
  <si>
    <t>计提工资</t>
  </si>
  <si>
    <t>研发领用材料</t>
  </si>
  <si>
    <t>研发设备折旧</t>
  </si>
  <si>
    <t>报销差旅费</t>
  </si>
  <si>
    <t>本月合计</t>
  </si>
  <si>
    <t>本年累计</t>
  </si>
  <si>
    <t>折旧费用</t>
  </si>
  <si>
    <t>其他费用</t>
  </si>
  <si>
    <t>湖南喜传天下家居有限公司2020年研究开发费用台账</t>
  </si>
  <si>
    <t>2020年1月--2020年6月</t>
  </si>
  <si>
    <t>2020年2月--2020年7月</t>
  </si>
  <si>
    <t>2020年3月--2020年8月</t>
  </si>
  <si>
    <t>2020年4月--2020年9月</t>
  </si>
  <si>
    <t>2020年5月--2020年10月</t>
  </si>
  <si>
    <t>2020年5月--2020年11月</t>
  </si>
  <si>
    <t>2020年7月--2020年12月</t>
  </si>
  <si>
    <t>RD01边缘支撑好的席梦思床垫的研制</t>
  </si>
  <si>
    <t>RD02床垫包边装置及使用方法的研究</t>
  </si>
  <si>
    <t>RD03床垫成型用切割装置的研制</t>
  </si>
  <si>
    <t>RD04乳胶床垫洗水压干机的研制</t>
  </si>
  <si>
    <t>RD05床垫加工用翻转设备及使用方法的研究</t>
  </si>
  <si>
    <t>RD06床垫加工预压机及使用方法的研究</t>
  </si>
  <si>
    <t>RD07床垫生产用转运固定装置的研制</t>
  </si>
  <si>
    <t>RD08高透气性的乳胶床垫的研制</t>
  </si>
  <si>
    <t>RD09环保型床垫面料涂层的制备方法的研究</t>
  </si>
  <si>
    <t>RD10可调节弹性的席梦思床垫的研制</t>
  </si>
  <si>
    <t>序号1</t>
  </si>
  <si>
    <t>材料</t>
  </si>
  <si>
    <t>工资</t>
  </si>
  <si>
    <t>收入</t>
  </si>
  <si>
    <t>需要研发费用</t>
  </si>
  <si>
    <t>差额</t>
  </si>
  <si>
    <t>湖南宏大锅炉设备有限公司2020年研究开发费用台账</t>
  </si>
  <si>
    <t>RD01工业锅炉废气处理装置的研制</t>
  </si>
  <si>
    <t>RD02节水型工业锅炉的研制</t>
  </si>
  <si>
    <t>RD03锅炉内火侧和水侧维护方法的研究</t>
  </si>
  <si>
    <t>RD04生物质燃料锅炉的研制</t>
  </si>
  <si>
    <t>RD05余热锅炉及利用余热锅炉的高效回收发电系统的研究</t>
  </si>
  <si>
    <t>RD06锅炉的尾部机构的研制</t>
  </si>
  <si>
    <t>RD07可拆卸式多层锅炉护板的研制</t>
  </si>
  <si>
    <t>RD08节能环保脱硫锅炉的研制</t>
  </si>
  <si>
    <t>衡阳县仕杰农产品加工有限公司2020年研究开发费用台账</t>
  </si>
  <si>
    <t>RD01一种播种装置的研发</t>
  </si>
  <si>
    <t>RD02一种农产品加工用催熟喷涂装置的研发</t>
  </si>
  <si>
    <t>RD03一种用于农产品加工的螺旋式搅拌机的研发</t>
  </si>
  <si>
    <t>RD04一种农产品加工浸烫装置的研发</t>
  </si>
  <si>
    <t>RD05一种可移动的多功能农产品加工设备的研发</t>
  </si>
  <si>
    <t>RD06一种初级食用农产品加工用清洗装置的研发</t>
  </si>
  <si>
    <t>RD07一种农产品加工用的沥水吹干装置的研发</t>
  </si>
  <si>
    <t>RD08一种方便搬运的农产品加工用晾凉架的研发</t>
  </si>
  <si>
    <t>RD09一种农产品加工用清洗水回收装置的研发</t>
  </si>
  <si>
    <t>衡阳县日升农业发展有限公司2020年研究开发费用台账</t>
  </si>
  <si>
    <t>2020年1月--2020年5月</t>
  </si>
  <si>
    <t>2020年2月--2020年6月</t>
  </si>
  <si>
    <t>2020年3月--2020年7月</t>
  </si>
  <si>
    <t>2020年4月--2020年8月</t>
  </si>
  <si>
    <t>2020年5月--2020年9月</t>
  </si>
  <si>
    <t>2020年6月--2020年10月</t>
  </si>
  <si>
    <t>2020年7月--2020年11月</t>
  </si>
  <si>
    <t>2020年8月--2020年11月</t>
  </si>
  <si>
    <t>2020年8月--2020年12月</t>
  </si>
  <si>
    <t>RD01生产肥料的发酵罐的研究及应用</t>
  </si>
  <si>
    <t>RD02配料机的研究及应用</t>
  </si>
  <si>
    <t>RD03自走式翻抛机的研究及应用</t>
  </si>
  <si>
    <t>RD04生产肥料的自动码垛机的研究及应用</t>
  </si>
  <si>
    <t>RD05斗式输送设备的研究及应用</t>
  </si>
  <si>
    <t>RD06自动包装机的研究及应用</t>
  </si>
  <si>
    <t>RD07生产肥料的发酵罐的研究及应用</t>
  </si>
  <si>
    <t>RD08甩干机的研究及应用</t>
  </si>
  <si>
    <t>RD09功能生物有机肥及其制备方法的研究及应用</t>
  </si>
  <si>
    <t>湖南利德有陶瓷有限公司2020年研究开发费用台账</t>
  </si>
  <si>
    <t>RD01</t>
  </si>
  <si>
    <t>RD02</t>
  </si>
  <si>
    <t>RD03</t>
  </si>
  <si>
    <t>RD04</t>
  </si>
  <si>
    <t>RD05</t>
  </si>
  <si>
    <t>RD06</t>
  </si>
  <si>
    <t>RD07</t>
  </si>
  <si>
    <t>RD08</t>
  </si>
  <si>
    <t>提高稻米蒸煮食味的方法的研究</t>
  </si>
  <si>
    <t>利用玉米整粒制备玉米油的方法的研究</t>
  </si>
  <si>
    <t>面粉专用下料装置的研制</t>
  </si>
  <si>
    <t>面粉搅拌机的研制</t>
  </si>
  <si>
    <t>面粉传输装置的研制</t>
  </si>
  <si>
    <t>面粉的分级筛选装置的研制</t>
  </si>
  <si>
    <t>茶皂素提取方法的研究</t>
  </si>
  <si>
    <t>黄酮提取方法的研究</t>
  </si>
  <si>
    <t>序号</t>
  </si>
  <si>
    <t>组织机构代码</t>
  </si>
  <si>
    <t>数据处理地</t>
  </si>
  <si>
    <t>单位详细名称</t>
  </si>
  <si>
    <t>730523233</t>
  </si>
  <si>
    <t>430421100230</t>
  </si>
  <si>
    <t>湖南恒生制药股份有限公司</t>
  </si>
  <si>
    <t>550728282</t>
  </si>
  <si>
    <t>湖南利德有陶瓷有限公司</t>
  </si>
  <si>
    <t>74594361X</t>
  </si>
  <si>
    <t>430421100200</t>
  </si>
  <si>
    <t>湖南金辉新材料有限公司</t>
  </si>
  <si>
    <t>L2617102X</t>
  </si>
  <si>
    <t>430421100203</t>
  </si>
  <si>
    <t>衡阳县畅通管业有限公司</t>
  </si>
  <si>
    <t>680338207</t>
  </si>
  <si>
    <t>430421100019</t>
  </si>
  <si>
    <t>衡阳市得阳鞋业有限公司</t>
  </si>
  <si>
    <t>666320086</t>
  </si>
  <si>
    <t>430421110006</t>
  </si>
  <si>
    <t>衡阳县明新陶瓷原料有限公司</t>
  </si>
  <si>
    <t>785366714</t>
  </si>
  <si>
    <t>430421110012</t>
  </si>
  <si>
    <t>衡阳县界牌玉峰陶玻原料有限公司</t>
  </si>
  <si>
    <t>727964732</t>
  </si>
  <si>
    <t>430421110201</t>
  </si>
  <si>
    <t>湖南界牌振弘陶瓷有限公司</t>
  </si>
  <si>
    <t>666310363</t>
  </si>
  <si>
    <t>衡阳昌和蛋白饲料有限公司</t>
  </si>
  <si>
    <t>567680422</t>
  </si>
  <si>
    <t>430421212201</t>
  </si>
  <si>
    <t>湖南喜传天下家居有限公司</t>
  </si>
  <si>
    <t>661653201</t>
  </si>
  <si>
    <t>湖南宏大锅炉设备有限公司</t>
  </si>
  <si>
    <t>MA4L1AM81</t>
  </si>
  <si>
    <t>430421111260</t>
  </si>
  <si>
    <t>衡阳县仕杰农产品加工有限公司</t>
  </si>
  <si>
    <t>MA4L260Y9</t>
  </si>
  <si>
    <t>430421113220</t>
  </si>
  <si>
    <t>衡阳县日升农业发展有限公司</t>
  </si>
  <si>
    <t>RD01一种抛釉砖的生产方法的研发</t>
  </si>
  <si>
    <t>RD02一种用于微粉抛光砖生产的全自动布料装置的研发</t>
  </si>
  <si>
    <t>RD03一种瓷质微粉抛光砖的生产方法及设备的研发</t>
  </si>
  <si>
    <t>RD04一种瓷质微粉抛光砖的生产设备的研发</t>
  </si>
  <si>
    <t>RD05一种瓷质微粉抛光砖的布料设备的研发</t>
  </si>
  <si>
    <t>RD06一种负离子抗菌瓷砖及其生产工艺的研发</t>
  </si>
  <si>
    <t>RD07一种用于微粉抛光砖生产的全自动布料装置及生产工艺的研发</t>
  </si>
  <si>
    <t>RD08一种16度哑光大理石瓷砖的生产工艺的研发</t>
  </si>
  <si>
    <t>RD09一种喷墨渗透玉石抛光砖的生产工艺的研发</t>
  </si>
  <si>
    <t>RD10一种喷墨玉石成型装置的研发</t>
  </si>
  <si>
    <t>RD11一种泥料均化设备的研发</t>
  </si>
  <si>
    <t>RD12一种陶瓷原料均化设备的研发</t>
  </si>
  <si>
    <t>RD13一种具有负离子和光量子功能的生态通体大理石陶瓷的配方及其生产工艺的研发</t>
  </si>
  <si>
    <t>RD14一种应用纳米技术与可溶性金属盐喷墨渗透发色制备的全瓷大理石生产工艺的研发</t>
  </si>
  <si>
    <t>RD15一种甜蜜陶瓷砖的研发</t>
  </si>
  <si>
    <t>RD01人造金刚石制造设备的研究及应用</t>
  </si>
  <si>
    <t>RD02人造金刚石制造设备的研究及应用</t>
  </si>
  <si>
    <t>RD03人造金刚石制造设备的研究及应用</t>
  </si>
  <si>
    <t>RD04人造金刚石烘干箱的研究及应用</t>
  </si>
  <si>
    <t>RD05人造金刚石流化分离方法与设备的研究及应用</t>
  </si>
  <si>
    <t>RD06人造金刚石合成块的研究及应用</t>
  </si>
  <si>
    <t>RD07人造金刚石加热调功装置的研究及应用</t>
  </si>
  <si>
    <t>RD08人造金刚石的提纯方法的研究及应用</t>
  </si>
  <si>
    <t>RD09人造金刚石压机加热电源装置的研究及应用</t>
  </si>
  <si>
    <t>RD10人造金刚石搬运装置的研究及应用</t>
  </si>
  <si>
    <t>RD11人造金刚石提纯除杂装置的研究及应用</t>
  </si>
  <si>
    <t>RD12人造金刚石球齿的研究及应用</t>
  </si>
  <si>
    <t>RD13基于人造金刚石处理吸收塔的在线监测装置的研究及应用</t>
  </si>
  <si>
    <t>RD14新型人造金刚石复合片取芯钻头的研究及应用</t>
  </si>
  <si>
    <t>RD15人造金刚石的打磨装置的研究及应用</t>
  </si>
  <si>
    <t>RD01内衬防腐微型复合钢筋混凝土排水管的研制</t>
  </si>
  <si>
    <t>RD02防渗漏钢筋混凝土排水管的研制</t>
  </si>
  <si>
    <t>2020年1月--2020年7月</t>
  </si>
  <si>
    <t>RD03便于卸料的水泥管生产装置及其使用方法的研究</t>
  </si>
  <si>
    <t>RD04防止污泥堆积的排水检查井的研制</t>
  </si>
  <si>
    <t>2020年2月--2020年8月</t>
  </si>
  <si>
    <t>RD05水泥管道生产防护结构存放装置的研制</t>
  </si>
  <si>
    <t>RD06便于水泥涵管生产更换过滤组件模具装置的研制</t>
  </si>
  <si>
    <t>RD07水泥涵管生产用防腐处理涂覆装置的研制</t>
  </si>
  <si>
    <t>RD08排水检查井喷涂修复装置的研制</t>
  </si>
  <si>
    <t>RD09水泥管道生产线的管道端口清理装置的研制</t>
  </si>
  <si>
    <t>2020年6月--2020年12月</t>
  </si>
  <si>
    <t>RD10水泥管养护的蒸养装置及其使用方法的研究</t>
  </si>
  <si>
    <t>RD11水泥涵管生产的加热定型装置及其使用方法的研究</t>
  </si>
  <si>
    <t>RD01气泡状鞋底气垫鞋的研制</t>
  </si>
  <si>
    <t>RD02柔软舒适型单鞋的研制</t>
  </si>
  <si>
    <t>RD03一体式新型保健鞋垫的研制</t>
  </si>
  <si>
    <t>RD04舒适型弹性牛筋底鞋的研制</t>
  </si>
  <si>
    <t>RD05带提鞋件的鞋的研制</t>
  </si>
  <si>
    <t>RD06注塑透气鞋中底及鞋子的研制</t>
  </si>
  <si>
    <t>RD07方便清洗的高帮鞋的研制</t>
  </si>
  <si>
    <t>RD08具有防滑能力的户外鞋的研制</t>
  </si>
  <si>
    <t>2020年6月--2020年11月</t>
  </si>
  <si>
    <t>RD09防寒保暖登山鞋的研制</t>
  </si>
  <si>
    <t>RD10防扭伤功能的高帮鞋的研制</t>
  </si>
  <si>
    <t>RD11双层防水底的帆布鞋的研制</t>
  </si>
  <si>
    <t>RD01钠长石粉放置桶体自动倾倒装置的研发</t>
  </si>
  <si>
    <t>RD02钠长石粉生产工艺的研发</t>
  </si>
  <si>
    <t>RD03新型钠长石粉的生产线的研发</t>
  </si>
  <si>
    <t>RD04钠长石粉增白方法的研发</t>
  </si>
  <si>
    <t>RD05降低钠长石粉电导率的研发</t>
  </si>
  <si>
    <t>RD06钠长石粉精加工的分级研究</t>
  </si>
  <si>
    <t>RD07陶瓷制砂废料上料装置的研发</t>
  </si>
  <si>
    <t>RD08高效轮式洗砂机的研发</t>
  </si>
  <si>
    <t>RD09钾钠长石粉除铁装置的研发</t>
  </si>
  <si>
    <t>RD10陶瓷制砂工艺的研发</t>
  </si>
  <si>
    <t>RD11新型三回程烘干装置的研发</t>
  </si>
  <si>
    <t>RD12钾钠长石粉磁选装置的研发</t>
  </si>
  <si>
    <t>RD01一种发泡陶瓷原料和高白陶瓷原料的制备方法及应用的研发</t>
  </si>
  <si>
    <t>RD02一种操作简便的陶瓷原料处理工艺的研发</t>
  </si>
  <si>
    <t>RD03一种陶瓷原料相对硬度的检测方法的研发</t>
  </si>
  <si>
    <t>RD04陶瓷纤维的制造方法和陶瓷纤维制造用的陶瓷原料组合液的研发</t>
  </si>
  <si>
    <t>RD05回收的陶瓷原料及使用该回收的陶瓷原料制备堇青石陶瓷体的方法的研发</t>
  </si>
  <si>
    <t>RD06一种陶瓷原料配比控制系统结构的研发</t>
  </si>
  <si>
    <t>RD07陶瓷原料纯净水制浆工艺的研发</t>
  </si>
  <si>
    <t>RD08一种3D打印用陶瓷原料搅拌装置的研发</t>
  </si>
  <si>
    <t>RD09一种玻璃材料加工用固定设备的研发</t>
  </si>
  <si>
    <t>RD10玻璃加工装置及玻璃加工方法的研发</t>
  </si>
  <si>
    <t>RD11透气玻璃材料结构加工工艺及透气玻璃材料结构的研发</t>
  </si>
  <si>
    <t>RD12封接加工用无铅玻璃材料以及用其制成的封接加工制品以及封接加工方法的研发</t>
  </si>
  <si>
    <t>2020年1月--2020年05月</t>
  </si>
  <si>
    <t>RD01建筑用陶瓷片快速破碎装置的研究及应用</t>
  </si>
  <si>
    <t>RD02仿古建筑用陶瓷釉面砖的研究及应用</t>
  </si>
  <si>
    <t>RD03耐高温的建筑用陶瓷瓦及其制备方法的研究及应用</t>
  </si>
  <si>
    <t>RD04古建筑用陶瓷翘角的研究及应用</t>
  </si>
  <si>
    <t>RD05古建筑用陶瓷屋檐的研究及应用</t>
  </si>
  <si>
    <t>RD06高性能环保的建筑用陶瓷材料及其制备方法的研究及应用</t>
  </si>
  <si>
    <t>RD07建筑用陶瓷及生产技术的研究及应用</t>
  </si>
  <si>
    <t>RD08改进的建筑用陶瓷釉料的研究及应用</t>
  </si>
  <si>
    <t>RD09环保型建筑用陶瓷用品的研究及应用</t>
  </si>
  <si>
    <t>RD10建筑用陶瓷砖瓦及其生产工艺的研究及应用</t>
  </si>
  <si>
    <t>2020年9月--2020年12月</t>
  </si>
  <si>
    <t>RD11闪光釉瓷砖的研究及应用</t>
  </si>
  <si>
    <t>RD01缬氨酸在饲料中的应用效果研究</t>
  </si>
  <si>
    <t>RD02具有防堵功能的粉末饲料分装机出料装置的研究</t>
  </si>
  <si>
    <t>RD03榨油机蒸炒锅自动加料装置的研究</t>
  </si>
  <si>
    <t>RD04榨油机蒸炒锅不易碎饲料粉碎装置的研究</t>
  </si>
  <si>
    <t>RD05可去除杂质的破碎机的研究</t>
  </si>
  <si>
    <t>RD06动物质破碎装置的研究</t>
  </si>
  <si>
    <t>RD07可去除饲料中轻质杂质的粉粹装置的研究</t>
  </si>
  <si>
    <t>RD08榨油机蒸炒锅导热油路结构的研究</t>
  </si>
  <si>
    <t>RD09含胶粘性原料饲料的加工系统及方法的研究</t>
  </si>
  <si>
    <t>RD10榨油机蒸炒锅自动加料系统的研究</t>
  </si>
  <si>
    <t>RD11除尘式饲料细化装置的研究</t>
  </si>
  <si>
    <t>RD06一种可移动的多功能农产品加工设备的研发</t>
  </si>
</sst>
</file>

<file path=xl/styles.xml><?xml version="1.0" encoding="utf-8"?>
<styleSheet xmlns="http://schemas.openxmlformats.org/spreadsheetml/2006/main">
  <numFmts count="5">
    <numFmt numFmtId="43" formatCode="_ * #,##0.00_ ;_ * \-#,##0.00_ ;_ * &quot;-&quot;??_ ;_ @_ "/>
    <numFmt numFmtId="176" formatCode="#,##0.00_ "/>
    <numFmt numFmtId="44" formatCode="_ &quot;￥&quot;* #,##0.00_ ;_ &quot;￥&quot;* \-#,##0.00_ ;_ &quot;￥&quot;* &quot;-&quot;??_ ;_ @_ "/>
    <numFmt numFmtId="41" formatCode="_ * #,##0_ ;_ * \-#,##0_ ;_ * &quot;-&quot;_ ;_ @_ "/>
    <numFmt numFmtId="42" formatCode="_ &quot;￥&quot;* #,##0_ ;_ &quot;￥&quot;* \-#,##0_ ;_ &quot;￥&quot;* &quot;-&quot;_ ;_ @_ "/>
  </numFmts>
  <fonts count="30">
    <font>
      <sz val="11"/>
      <color indexed="8"/>
      <name val="宋体"/>
      <charset val="134"/>
    </font>
    <font>
      <sz val="11"/>
      <color indexed="10"/>
      <name val="宋体"/>
      <charset val="134"/>
    </font>
    <font>
      <b/>
      <sz val="10"/>
      <name val="宋体"/>
      <charset val="134"/>
    </font>
    <font>
      <sz val="10"/>
      <name val="宋体"/>
      <charset val="134"/>
    </font>
    <font>
      <b/>
      <sz val="11"/>
      <color indexed="8"/>
      <name val="宋体"/>
      <charset val="134"/>
    </font>
    <font>
      <sz val="14"/>
      <color indexed="8"/>
      <name val="宋体"/>
      <charset val="134"/>
    </font>
    <font>
      <sz val="10"/>
      <color indexed="8"/>
      <name val="宋体"/>
      <charset val="134"/>
    </font>
    <font>
      <sz val="12"/>
      <color indexed="8"/>
      <name val="宋体"/>
      <charset val="134"/>
    </font>
    <font>
      <sz val="16"/>
      <color indexed="8"/>
      <name val="宋体"/>
      <charset val="134"/>
    </font>
    <font>
      <sz val="20"/>
      <color indexed="8"/>
      <name val="宋体"/>
      <charset val="134"/>
    </font>
    <font>
      <sz val="48"/>
      <color indexed="8"/>
      <name val="宋体"/>
      <charset val="134"/>
    </font>
    <font>
      <sz val="11"/>
      <color indexed="8"/>
      <name val="宋体"/>
      <charset val="0"/>
    </font>
    <font>
      <sz val="11"/>
      <color indexed="62"/>
      <name val="宋体"/>
      <charset val="0"/>
    </font>
    <font>
      <sz val="11"/>
      <color indexed="60"/>
      <name val="宋体"/>
      <charset val="0"/>
    </font>
    <font>
      <b/>
      <sz val="11"/>
      <color indexed="63"/>
      <name val="宋体"/>
      <charset val="0"/>
    </font>
    <font>
      <sz val="11"/>
      <color indexed="9"/>
      <name val="宋体"/>
      <charset val="0"/>
    </font>
    <font>
      <b/>
      <sz val="18"/>
      <color indexed="62"/>
      <name val="宋体"/>
      <charset val="134"/>
    </font>
    <font>
      <i/>
      <sz val="11"/>
      <color indexed="23"/>
      <name val="宋体"/>
      <charset val="0"/>
    </font>
    <font>
      <b/>
      <sz val="15"/>
      <color indexed="62"/>
      <name val="宋体"/>
      <charset val="134"/>
    </font>
    <font>
      <u/>
      <sz val="11"/>
      <color indexed="12"/>
      <name val="宋体"/>
      <charset val="0"/>
    </font>
    <font>
      <u/>
      <sz val="11"/>
      <color indexed="20"/>
      <name val="宋体"/>
      <charset val="0"/>
    </font>
    <font>
      <b/>
      <sz val="13"/>
      <color indexed="62"/>
      <name val="宋体"/>
      <charset val="134"/>
    </font>
    <font>
      <sz val="11"/>
      <color indexed="10"/>
      <name val="宋体"/>
      <charset val="0"/>
    </font>
    <font>
      <b/>
      <sz val="11"/>
      <color indexed="62"/>
      <name val="宋体"/>
      <charset val="134"/>
    </font>
    <font>
      <b/>
      <sz val="11"/>
      <color indexed="8"/>
      <name val="宋体"/>
      <charset val="0"/>
    </font>
    <font>
      <sz val="11"/>
      <color indexed="52"/>
      <name val="宋体"/>
      <charset val="0"/>
    </font>
    <font>
      <sz val="11"/>
      <color indexed="17"/>
      <name val="宋体"/>
      <charset val="0"/>
    </font>
    <font>
      <b/>
      <sz val="11"/>
      <color indexed="52"/>
      <name val="宋体"/>
      <charset val="0"/>
    </font>
    <font>
      <sz val="12"/>
      <name val="宋体"/>
      <charset val="134"/>
    </font>
    <font>
      <b/>
      <sz val="11"/>
      <color indexed="9"/>
      <name val="宋体"/>
      <charset val="0"/>
    </font>
  </fonts>
  <fills count="19">
    <fill>
      <patternFill patternType="none"/>
    </fill>
    <fill>
      <patternFill patternType="gray125"/>
    </fill>
    <fill>
      <patternFill patternType="solid">
        <fgColor indexed="40"/>
        <bgColor indexed="64"/>
      </patternFill>
    </fill>
    <fill>
      <patternFill patternType="solid">
        <fgColor indexed="13"/>
        <bgColor indexed="64"/>
      </patternFill>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51"/>
        <bgColor indexed="64"/>
      </patternFill>
    </fill>
    <fill>
      <patternFill patternType="solid">
        <fgColor indexed="29"/>
        <bgColor indexed="64"/>
      </patternFill>
    </fill>
    <fill>
      <patternFill patternType="solid">
        <fgColor indexed="22"/>
        <bgColor indexed="64"/>
      </patternFill>
    </fill>
    <fill>
      <patternFill patternType="solid">
        <fgColor indexed="26"/>
        <bgColor indexed="64"/>
      </patternFill>
    </fill>
    <fill>
      <patternFill patternType="solid">
        <fgColor indexed="44"/>
        <bgColor indexed="64"/>
      </patternFill>
    </fill>
    <fill>
      <patternFill patternType="solid">
        <fgColor indexed="57"/>
        <bgColor indexed="64"/>
      </patternFill>
    </fill>
    <fill>
      <patternFill patternType="solid">
        <fgColor indexed="55"/>
        <bgColor indexed="64"/>
      </patternFill>
    </fill>
    <fill>
      <patternFill patternType="solid">
        <fgColor indexed="31"/>
        <bgColor indexed="64"/>
      </patternFill>
    </fill>
    <fill>
      <patternFill patternType="solid">
        <fgColor indexed="49"/>
        <bgColor indexed="64"/>
      </patternFill>
    </fill>
    <fill>
      <patternFill patternType="solid">
        <fgColor indexed="53"/>
        <bgColor indexed="64"/>
      </patternFill>
    </fill>
    <fill>
      <patternFill patternType="solid">
        <fgColor indexed="27"/>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15" fillId="8"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6" applyNumberFormat="0" applyAlignment="0" applyProtection="0">
      <alignment vertical="center"/>
    </xf>
    <xf numFmtId="0" fontId="13" fillId="9" borderId="0" applyNumberFormat="0" applyBorder="0" applyAlignment="0" applyProtection="0">
      <alignment vertical="center"/>
    </xf>
    <xf numFmtId="0" fontId="11" fillId="10" borderId="0" applyNumberFormat="0" applyBorder="0" applyAlignment="0" applyProtection="0">
      <alignment vertical="center"/>
    </xf>
    <xf numFmtId="0" fontId="15"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11" borderId="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21" fillId="0" borderId="8" applyNumberFormat="0" applyFill="0" applyAlignment="0" applyProtection="0">
      <alignment vertical="center"/>
    </xf>
    <xf numFmtId="43" fontId="0" fillId="0" borderId="0" applyFont="0" applyFill="0" applyBorder="0" applyAlignment="0" applyProtection="0">
      <alignment vertical="center"/>
    </xf>
    <xf numFmtId="0" fontId="23" fillId="0" borderId="11" applyNumberFormat="0" applyFill="0" applyAlignment="0" applyProtection="0">
      <alignment vertical="center"/>
    </xf>
    <xf numFmtId="0" fontId="15" fillId="12" borderId="0" applyNumberFormat="0" applyBorder="0" applyAlignment="0" applyProtection="0">
      <alignment vertical="center"/>
    </xf>
    <xf numFmtId="0" fontId="14" fillId="4" borderId="7" applyNumberFormat="0" applyAlignment="0" applyProtection="0">
      <alignment vertical="center"/>
    </xf>
    <xf numFmtId="0" fontId="15" fillId="5" borderId="0" applyNumberFormat="0" applyBorder="0" applyAlignment="0" applyProtection="0">
      <alignment vertical="center"/>
    </xf>
    <xf numFmtId="0" fontId="27" fillId="4" borderId="6" applyNumberFormat="0" applyAlignment="0" applyProtection="0">
      <alignment vertical="center"/>
    </xf>
    <xf numFmtId="0" fontId="29" fillId="14" borderId="13" applyNumberFormat="0" applyAlignment="0" applyProtection="0">
      <alignment vertical="center"/>
    </xf>
    <xf numFmtId="0" fontId="25" fillId="0" borderId="12" applyNumberFormat="0" applyFill="0" applyAlignment="0" applyProtection="0">
      <alignment vertical="center"/>
    </xf>
    <xf numFmtId="0" fontId="15" fillId="17" borderId="0" applyNumberFormat="0" applyBorder="0" applyAlignment="0" applyProtection="0">
      <alignment vertical="center"/>
    </xf>
    <xf numFmtId="0" fontId="11" fillId="6" borderId="0" applyNumberFormat="0" applyBorder="0" applyAlignment="0" applyProtection="0">
      <alignment vertical="center"/>
    </xf>
    <xf numFmtId="0" fontId="24" fillId="0" borderId="10" applyNumberFormat="0" applyFill="0" applyAlignment="0" applyProtection="0">
      <alignment vertical="center"/>
    </xf>
    <xf numFmtId="0" fontId="26" fillId="6" borderId="0" applyNumberFormat="0" applyBorder="0" applyAlignment="0" applyProtection="0">
      <alignment vertical="center"/>
    </xf>
    <xf numFmtId="0" fontId="13" fillId="7" borderId="0" applyNumberFormat="0" applyBorder="0" applyAlignment="0" applyProtection="0">
      <alignment vertical="center"/>
    </xf>
    <xf numFmtId="0" fontId="15" fillId="16"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11" fillId="12"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5" fillId="14" borderId="0" applyNumberFormat="0" applyBorder="0" applyAlignment="0" applyProtection="0">
      <alignment vertical="center"/>
    </xf>
    <xf numFmtId="0" fontId="11" fillId="11" borderId="0" applyNumberFormat="0" applyBorder="0" applyAlignment="0" applyProtection="0">
      <alignment vertical="center"/>
    </xf>
    <xf numFmtId="0" fontId="11" fillId="5" borderId="0" applyNumberFormat="0" applyBorder="0" applyAlignment="0" applyProtection="0">
      <alignment vertical="center"/>
    </xf>
    <xf numFmtId="0" fontId="28" fillId="0" borderId="0">
      <alignment vertical="center"/>
    </xf>
    <xf numFmtId="0" fontId="15" fillId="16" borderId="0" applyNumberFormat="0" applyBorder="0" applyAlignment="0" applyProtection="0">
      <alignment vertical="center"/>
    </xf>
    <xf numFmtId="0" fontId="11" fillId="12"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1" fillId="6" borderId="0" applyNumberFormat="0" applyBorder="0" applyAlignment="0" applyProtection="0">
      <alignment vertical="center"/>
    </xf>
    <xf numFmtId="0" fontId="15" fillId="13" borderId="0" applyNumberFormat="0" applyBorder="0" applyAlignment="0" applyProtection="0">
      <alignment vertical="center"/>
    </xf>
  </cellStyleXfs>
  <cellXfs count="74">
    <xf numFmtId="0" fontId="0" fillId="0" borderId="0" xfId="0">
      <alignment vertical="center"/>
    </xf>
    <xf numFmtId="0" fontId="1" fillId="0" borderId="0" xfId="0" applyFont="1">
      <alignment vertical="center"/>
    </xf>
    <xf numFmtId="0" fontId="0" fillId="0" borderId="0" xfId="0" applyAlignment="1">
      <alignment vertical="center" wrapText="1"/>
    </xf>
    <xf numFmtId="0" fontId="1" fillId="0" borderId="0" xfId="0" applyFont="1" applyAlignment="1">
      <alignment vertical="center" wrapText="1"/>
    </xf>
    <xf numFmtId="176" fontId="0" fillId="0" borderId="0" xfId="0" applyNumberForma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vertical="center"/>
    </xf>
    <xf numFmtId="176" fontId="3" fillId="2" borderId="1" xfId="0" applyNumberFormat="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xf>
    <xf numFmtId="43" fontId="3" fillId="0" borderId="1" xfId="1" applyFont="1" applyFill="1" applyBorder="1" applyAlignment="1">
      <alignment horizontal="right"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right" vertical="center"/>
    </xf>
    <xf numFmtId="43" fontId="3" fillId="0" borderId="1" xfId="1" applyFont="1" applyFill="1" applyBorder="1" applyAlignment="1">
      <alignment horizontal="center" vertical="center"/>
    </xf>
    <xf numFmtId="0" fontId="7" fillId="0" borderId="0" xfId="0" applyFont="1" applyFill="1" applyBorder="1" applyAlignment="1">
      <alignment horizontal="center" vertical="center" wrapText="1"/>
    </xf>
    <xf numFmtId="176" fontId="3" fillId="0" borderId="1" xfId="0" applyNumberFormat="1" applyFont="1" applyFill="1" applyBorder="1" applyAlignment="1">
      <alignment horizontal="right" vertical="center"/>
    </xf>
    <xf numFmtId="0" fontId="5" fillId="0" borderId="0" xfId="0" applyFont="1" applyFill="1" applyBorder="1" applyAlignment="1">
      <alignment vertical="center"/>
    </xf>
    <xf numFmtId="0" fontId="6"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3" fontId="3" fillId="0" borderId="0" xfId="1" applyFont="1" applyFill="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10" fontId="6" fillId="0" borderId="0" xfId="5" applyNumberFormat="1" applyFont="1" applyFill="1" applyAlignment="1">
      <alignment horizontal="center" vertical="center"/>
    </xf>
    <xf numFmtId="176" fontId="6" fillId="0" borderId="1"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43" fontId="6" fillId="0" borderId="0" xfId="1" applyFont="1" applyFill="1" applyAlignment="1">
      <alignment horizontal="center" vertical="center"/>
    </xf>
    <xf numFmtId="43" fontId="0" fillId="0" borderId="0" xfId="1" applyFont="1" applyFill="1">
      <alignment vertical="center"/>
    </xf>
    <xf numFmtId="10" fontId="0" fillId="0" borderId="0" xfId="5" applyNumberFormat="1" applyFont="1" applyFill="1">
      <alignment vertical="center"/>
    </xf>
    <xf numFmtId="176" fontId="0" fillId="0" borderId="0" xfId="0" applyNumberFormat="1" applyFont="1" applyFill="1" applyBorder="1" applyAlignment="1">
      <alignment horizontal="center" vertical="center"/>
    </xf>
    <xf numFmtId="10" fontId="0" fillId="0" borderId="0" xfId="5" applyNumberFormat="1" applyFont="1" applyFill="1" applyAlignment="1">
      <alignment horizontal="center" vertical="center"/>
    </xf>
    <xf numFmtId="43" fontId="0" fillId="0" borderId="0" xfId="1" applyFont="1" applyFill="1" applyAlignment="1">
      <alignment horizontal="center" vertical="center"/>
    </xf>
    <xf numFmtId="0" fontId="6" fillId="0" borderId="0" xfId="0" applyFont="1" applyFill="1" applyBorder="1" applyAlignment="1">
      <alignment horizontal="right" vertical="center"/>
    </xf>
    <xf numFmtId="176" fontId="6"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43" fontId="2" fillId="0" borderId="1" xfId="1" applyFont="1" applyFill="1" applyBorder="1" applyAlignment="1">
      <alignment horizontal="right" vertical="center"/>
    </xf>
    <xf numFmtId="43" fontId="3" fillId="3" borderId="1" xfId="1" applyFont="1" applyFill="1" applyBorder="1" applyAlignment="1">
      <alignment horizontal="right" vertical="center"/>
    </xf>
    <xf numFmtId="176" fontId="3" fillId="3" borderId="1" xfId="0" applyNumberFormat="1" applyFont="1" applyFill="1" applyBorder="1" applyAlignment="1">
      <alignment horizontal="right"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43" fontId="3" fillId="0" borderId="5" xfId="1" applyFont="1" applyFill="1" applyBorder="1" applyAlignment="1">
      <alignment horizontal="right" vertical="center"/>
    </xf>
    <xf numFmtId="0" fontId="8" fillId="0" borderId="1" xfId="0" applyFont="1" applyFill="1" applyBorder="1" applyAlignment="1">
      <alignment horizontal="center" vertical="center" wrapText="1"/>
    </xf>
    <xf numFmtId="0" fontId="5" fillId="0" borderId="1" xfId="0" applyFont="1" applyFill="1" applyBorder="1" applyAlignment="1">
      <alignment vertical="center"/>
    </xf>
    <xf numFmtId="0" fontId="10" fillId="0" borderId="1" xfId="0" applyFont="1" applyFill="1" applyBorder="1" applyAlignment="1">
      <alignment horizontal="center" vertical="center" wrapText="1"/>
    </xf>
    <xf numFmtId="0" fontId="6" fillId="0" borderId="0" xfId="5"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5" applyNumberFormat="1" applyFont="1" applyFill="1" applyAlignment="1">
      <alignment horizontal="center" vertical="center"/>
    </xf>
    <xf numFmtId="43" fontId="8" fillId="0" borderId="1" xfId="22" applyFont="1" applyFill="1" applyBorder="1" applyAlignment="1">
      <alignment horizontal="center" vertical="center"/>
    </xf>
    <xf numFmtId="0" fontId="8" fillId="0" borderId="1" xfId="0" applyFont="1" applyFill="1" applyBorder="1" applyAlignment="1">
      <alignment horizontal="center" vertical="center"/>
    </xf>
    <xf numFmtId="176" fontId="8" fillId="0" borderId="1" xfId="1" applyNumberFormat="1" applyFont="1" applyFill="1" applyBorder="1">
      <alignment vertical="center"/>
    </xf>
    <xf numFmtId="176" fontId="8" fillId="0" borderId="1" xfId="0" applyNumberFormat="1" applyFont="1" applyFill="1" applyBorder="1" applyAlignment="1">
      <alignment horizontal="right" vertical="center"/>
    </xf>
    <xf numFmtId="176" fontId="8" fillId="0" borderId="1" xfId="0" applyNumberFormat="1" applyFont="1" applyFill="1" applyBorder="1" applyAlignment="1">
      <alignment vertical="center"/>
    </xf>
    <xf numFmtId="176" fontId="8" fillId="0" borderId="1" xfId="5" applyNumberFormat="1" applyFont="1" applyFill="1" applyBorder="1">
      <alignment vertical="center"/>
    </xf>
    <xf numFmtId="176" fontId="8" fillId="0" borderId="1" xfId="0" applyNumberFormat="1" applyFont="1" applyFill="1" applyBorder="1" applyAlignment="1">
      <alignment horizontal="center" vertical="center"/>
    </xf>
    <xf numFmtId="0" fontId="8" fillId="0" borderId="1" xfId="0" applyFont="1" applyFill="1" applyBorder="1" applyAlignment="1">
      <alignment horizontal="right" vertical="center"/>
    </xf>
    <xf numFmtId="2" fontId="0" fillId="0" borderId="0" xfId="0" applyNumberFormat="1" applyFont="1" applyFill="1" applyBorder="1" applyAlignment="1">
      <alignment horizontal="center" vertical="center"/>
    </xf>
    <xf numFmtId="0" fontId="8" fillId="0" borderId="1" xfId="0" applyFont="1" applyFill="1" applyBorder="1" applyAlignment="1">
      <alignment vertical="center"/>
    </xf>
    <xf numFmtId="43" fontId="2" fillId="0" borderId="1" xfId="1" applyFont="1" applyFill="1" applyBorder="1" applyAlignment="1">
      <alignment horizontal="center" vertical="center"/>
    </xf>
    <xf numFmtId="176" fontId="3" fillId="0" borderId="1" xfId="0" applyNumberFormat="1" applyFont="1" applyFill="1" applyBorder="1" applyAlignment="1" quotePrefix="1">
      <alignment vertical="center"/>
    </xf>
  </cellXfs>
  <cellStyles count="51">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千位分隔 4 3" xfId="22"/>
    <cellStyle name="标题 3" xfId="23"/>
    <cellStyle name="60% - 强调文字颜色 1" xfId="24"/>
    <cellStyle name="输出" xfId="25"/>
    <cellStyle name="60% - 强调文字颜色 4" xfId="26"/>
    <cellStyle name="计算" xfId="27"/>
    <cellStyle name="检查单元格" xfId="28"/>
    <cellStyle name="链接单元格" xfId="29"/>
    <cellStyle name="强调文字颜色 2" xfId="30"/>
    <cellStyle name="20% - 强调文字颜色 6" xfId="31"/>
    <cellStyle name="汇总" xfId="32"/>
    <cellStyle name="好" xfId="33"/>
    <cellStyle name="适中" xfId="34"/>
    <cellStyle name="强调文字颜色 1" xfId="35"/>
    <cellStyle name="20% - 强调文字颜色 5" xfId="36"/>
    <cellStyle name="20% - 强调文字颜色 1" xfId="37"/>
    <cellStyle name="40% - 强调文字颜色 1" xfId="38"/>
    <cellStyle name="20% - 强调文字颜色 2" xfId="39"/>
    <cellStyle name="40% - 强调文字颜色 2" xfId="40"/>
    <cellStyle name="强调文字颜色 3" xfId="41"/>
    <cellStyle name="20% - 强调文字颜色 4" xfId="42"/>
    <cellStyle name="40% - 强调文字颜色 4" xfId="43"/>
    <cellStyle name="常规_2015年" xfId="44"/>
    <cellStyle name="强调文字颜色 5" xfId="45"/>
    <cellStyle name="40% - 强调文字颜色 5" xfId="46"/>
    <cellStyle name="60% - 强调文字颜色 5" xfId="47"/>
    <cellStyle name="强调文字颜色 6" xfId="48"/>
    <cellStyle name="40% - 强调文字颜色 6" xfId="49"/>
    <cellStyle name="60% - 强调文字颜色 6" xfId="50"/>
  </cellStyles>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Y128"/>
  <sheetViews>
    <sheetView tabSelected="1" view="pageBreakPreview" zoomScaleNormal="70" zoomScaleSheetLayoutView="100" topLeftCell="A2" workbookViewId="0">
      <selection activeCell="I5" sqref="I5"/>
    </sheetView>
  </sheetViews>
  <sheetFormatPr defaultColWidth="9" defaultRowHeight="13.5"/>
  <cols>
    <col min="1" max="1" width="8.875" style="11" customWidth="1"/>
    <col min="2" max="2" width="6.875" style="11" customWidth="1"/>
    <col min="3" max="3" width="14.375" style="12" customWidth="1"/>
    <col min="4" max="4" width="7.625" style="11" customWidth="1"/>
    <col min="5" max="5" width="6.375" style="11" customWidth="1"/>
    <col min="6" max="6" width="4" style="11" customWidth="1"/>
    <col min="7" max="7" width="4.625" style="11" customWidth="1"/>
    <col min="8" max="8" width="5.125" style="11" customWidth="1"/>
    <col min="9" max="15" width="7.375" style="11" customWidth="1"/>
    <col min="16" max="23" width="7.375" style="13" customWidth="1"/>
    <col min="24" max="25" width="7.375" style="11" customWidth="1"/>
    <col min="26" max="16384" width="9" style="14"/>
  </cols>
  <sheetData>
    <row r="1" ht="82" customHeight="1" spans="1:25">
      <c r="A1" s="52" t="s">
        <v>0</v>
      </c>
      <c r="B1" s="52"/>
      <c r="C1" s="52"/>
      <c r="D1" s="52"/>
      <c r="E1" s="52"/>
      <c r="F1" s="52"/>
      <c r="G1" s="52"/>
      <c r="H1" s="52"/>
      <c r="I1" s="56" t="s">
        <v>1</v>
      </c>
      <c r="J1" s="56" t="s">
        <v>1</v>
      </c>
      <c r="K1" s="56" t="s">
        <v>1</v>
      </c>
      <c r="L1" s="56" t="s">
        <v>1</v>
      </c>
      <c r="M1" s="56" t="s">
        <v>1</v>
      </c>
      <c r="N1" s="56" t="s">
        <v>1</v>
      </c>
      <c r="O1" s="56" t="s">
        <v>1</v>
      </c>
      <c r="P1" s="56" t="s">
        <v>1</v>
      </c>
      <c r="Q1" s="56" t="s">
        <v>1</v>
      </c>
      <c r="R1" s="56" t="s">
        <v>1</v>
      </c>
      <c r="S1" s="56" t="s">
        <v>1</v>
      </c>
      <c r="T1" s="56" t="s">
        <v>1</v>
      </c>
      <c r="U1" s="56" t="s">
        <v>1</v>
      </c>
      <c r="V1" s="56" t="s">
        <v>1</v>
      </c>
      <c r="W1" s="56" t="s">
        <v>1</v>
      </c>
      <c r="X1" s="57"/>
      <c r="Y1" s="58" t="s">
        <v>2</v>
      </c>
    </row>
    <row r="2" s="12" customFormat="1" ht="60" customHeight="1" spans="1:25">
      <c r="A2" s="53" t="s">
        <v>3</v>
      </c>
      <c r="B2" s="53" t="s">
        <v>4</v>
      </c>
      <c r="C2" s="53" t="s">
        <v>5</v>
      </c>
      <c r="D2" s="53" t="s">
        <v>6</v>
      </c>
      <c r="E2" s="53"/>
      <c r="F2" s="53"/>
      <c r="G2" s="53"/>
      <c r="H2" s="54"/>
      <c r="I2" s="56" t="s">
        <v>7</v>
      </c>
      <c r="J2" s="56" t="s">
        <v>8</v>
      </c>
      <c r="K2" s="56" t="s">
        <v>9</v>
      </c>
      <c r="L2" s="56" t="s">
        <v>10</v>
      </c>
      <c r="M2" s="56" t="s">
        <v>11</v>
      </c>
      <c r="N2" s="56" t="s">
        <v>12</v>
      </c>
      <c r="O2" s="56" t="s">
        <v>13</v>
      </c>
      <c r="P2" s="56" t="s">
        <v>14</v>
      </c>
      <c r="Q2" s="56" t="s">
        <v>15</v>
      </c>
      <c r="R2" s="56" t="s">
        <v>16</v>
      </c>
      <c r="S2" s="56" t="s">
        <v>17</v>
      </c>
      <c r="T2" s="56" t="s">
        <v>18</v>
      </c>
      <c r="U2" s="56" t="s">
        <v>19</v>
      </c>
      <c r="V2" s="56" t="s">
        <v>20</v>
      </c>
      <c r="W2" s="56" t="s">
        <v>21</v>
      </c>
      <c r="X2" s="17" t="s">
        <v>2</v>
      </c>
      <c r="Y2" s="58"/>
    </row>
    <row r="3" s="12" customFormat="1" ht="60" customHeight="1" spans="1:25">
      <c r="A3" s="53"/>
      <c r="B3" s="53"/>
      <c r="C3" s="53"/>
      <c r="D3" s="53" t="s">
        <v>22</v>
      </c>
      <c r="E3" s="53" t="s">
        <v>23</v>
      </c>
      <c r="F3" s="53" t="s">
        <v>24</v>
      </c>
      <c r="G3" s="53" t="s">
        <v>25</v>
      </c>
      <c r="H3" s="54" t="s">
        <v>2</v>
      </c>
      <c r="I3" s="56"/>
      <c r="J3" s="56"/>
      <c r="K3" s="56"/>
      <c r="L3" s="56"/>
      <c r="M3" s="56"/>
      <c r="N3" s="56"/>
      <c r="O3" s="56"/>
      <c r="P3" s="56"/>
      <c r="Q3" s="56"/>
      <c r="R3" s="56"/>
      <c r="S3" s="56"/>
      <c r="T3" s="56"/>
      <c r="U3" s="56"/>
      <c r="V3" s="56"/>
      <c r="W3" s="56"/>
      <c r="X3" s="17"/>
      <c r="Y3" s="58"/>
    </row>
    <row r="4" s="12" customFormat="1" ht="60" customHeight="1" spans="1:25">
      <c r="A4" s="53" t="s">
        <v>26</v>
      </c>
      <c r="B4" s="53"/>
      <c r="C4" s="53"/>
      <c r="D4" s="53"/>
      <c r="E4" s="53"/>
      <c r="F4" s="53"/>
      <c r="G4" s="53"/>
      <c r="H4" s="54"/>
      <c r="I4" s="56"/>
      <c r="J4" s="56"/>
      <c r="K4" s="56"/>
      <c r="L4" s="56"/>
      <c r="M4" s="56"/>
      <c r="N4" s="56"/>
      <c r="O4" s="56"/>
      <c r="P4" s="56"/>
      <c r="Q4" s="56"/>
      <c r="R4" s="56"/>
      <c r="S4" s="56"/>
      <c r="T4" s="56"/>
      <c r="U4" s="56"/>
      <c r="V4" s="56"/>
      <c r="W4" s="56"/>
      <c r="X4" s="17"/>
      <c r="Y4" s="58"/>
    </row>
    <row r="5" ht="16.5" customHeight="1" spans="1:25">
      <c r="A5" s="6">
        <v>1</v>
      </c>
      <c r="B5" s="6">
        <v>19</v>
      </c>
      <c r="C5" s="18" t="s">
        <v>27</v>
      </c>
      <c r="D5" s="19"/>
      <c r="E5" s="19"/>
      <c r="F5" s="19"/>
      <c r="G5" s="19"/>
      <c r="H5" s="55"/>
      <c r="I5" s="20"/>
      <c r="J5" s="20"/>
      <c r="K5" s="20"/>
      <c r="L5" s="20"/>
      <c r="M5" s="20"/>
      <c r="N5" s="20"/>
      <c r="O5" s="20"/>
      <c r="P5" s="26"/>
      <c r="Q5" s="26"/>
      <c r="R5" s="26"/>
      <c r="S5" s="26"/>
      <c r="T5" s="26"/>
      <c r="U5" s="26"/>
      <c r="V5" s="26"/>
      <c r="W5" s="26"/>
      <c r="X5" s="24"/>
      <c r="Y5" s="24"/>
    </row>
    <row r="6" ht="16.5" customHeight="1" spans="1:25">
      <c r="A6" s="6">
        <v>1</v>
      </c>
      <c r="B6" s="6">
        <v>68</v>
      </c>
      <c r="C6" s="18" t="s">
        <v>28</v>
      </c>
      <c r="D6" s="19"/>
      <c r="E6" s="19"/>
      <c r="F6" s="19"/>
      <c r="G6" s="19"/>
      <c r="H6" s="55"/>
      <c r="I6" s="20"/>
      <c r="J6" s="20"/>
      <c r="K6" s="20"/>
      <c r="L6" s="20"/>
      <c r="M6" s="20"/>
      <c r="N6" s="20"/>
      <c r="O6" s="20"/>
      <c r="P6" s="26"/>
      <c r="Q6" s="26"/>
      <c r="R6" s="26"/>
      <c r="S6" s="26"/>
      <c r="T6" s="26"/>
      <c r="U6" s="26"/>
      <c r="V6" s="26"/>
      <c r="W6" s="26"/>
      <c r="X6" s="24"/>
      <c r="Y6" s="24"/>
    </row>
    <row r="7" ht="16.5" customHeight="1" spans="1:25">
      <c r="A7" s="6">
        <v>1</v>
      </c>
      <c r="B7" s="6">
        <v>64</v>
      </c>
      <c r="C7" s="18" t="s">
        <v>29</v>
      </c>
      <c r="D7" s="19"/>
      <c r="E7" s="19"/>
      <c r="F7" s="19"/>
      <c r="G7" s="19"/>
      <c r="H7" s="20"/>
      <c r="I7" s="20"/>
      <c r="J7" s="20"/>
      <c r="K7" s="20"/>
      <c r="L7" s="20"/>
      <c r="M7" s="20"/>
      <c r="N7" s="20"/>
      <c r="O7" s="20"/>
      <c r="P7" s="26"/>
      <c r="Q7" s="26"/>
      <c r="R7" s="26"/>
      <c r="S7" s="26"/>
      <c r="T7" s="26"/>
      <c r="U7" s="26"/>
      <c r="V7" s="26"/>
      <c r="W7" s="26"/>
      <c r="X7" s="24"/>
      <c r="Y7" s="24"/>
    </row>
    <row r="8" ht="16.5" customHeight="1" spans="1:25">
      <c r="A8" s="6">
        <v>1</v>
      </c>
      <c r="B8" s="6">
        <v>81</v>
      </c>
      <c r="C8" s="18" t="s">
        <v>30</v>
      </c>
      <c r="D8" s="19"/>
      <c r="E8" s="19"/>
      <c r="F8" s="19"/>
      <c r="G8" s="19"/>
      <c r="H8" s="20"/>
      <c r="I8" s="20"/>
      <c r="J8" s="20"/>
      <c r="K8" s="20"/>
      <c r="L8" s="20"/>
      <c r="M8" s="20"/>
      <c r="N8" s="20"/>
      <c r="O8" s="20"/>
      <c r="P8" s="26"/>
      <c r="Q8" s="26"/>
      <c r="R8" s="26"/>
      <c r="S8" s="26"/>
      <c r="T8" s="26"/>
      <c r="U8" s="26"/>
      <c r="V8" s="26"/>
      <c r="W8" s="26"/>
      <c r="X8" s="24"/>
      <c r="Y8" s="24"/>
    </row>
    <row r="9" s="9" customFormat="1" ht="16.5" customHeight="1" spans="1:25">
      <c r="A9" s="21"/>
      <c r="B9" s="6"/>
      <c r="C9" s="5" t="s">
        <v>31</v>
      </c>
      <c r="D9" s="22"/>
      <c r="E9" s="22"/>
      <c r="F9" s="22"/>
      <c r="G9" s="22"/>
      <c r="H9" s="23"/>
      <c r="I9" s="20"/>
      <c r="J9" s="20"/>
      <c r="K9" s="20"/>
      <c r="L9" s="20"/>
      <c r="M9" s="20"/>
      <c r="N9" s="20"/>
      <c r="O9" s="20"/>
      <c r="P9" s="26"/>
      <c r="Q9" s="26"/>
      <c r="R9" s="26"/>
      <c r="S9" s="26"/>
      <c r="T9" s="26"/>
      <c r="U9" s="26"/>
      <c r="V9" s="26"/>
      <c r="W9" s="26"/>
      <c r="X9" s="24"/>
      <c r="Y9" s="24"/>
    </row>
    <row r="10" s="9" customFormat="1" ht="16.5" customHeight="1" spans="1:25">
      <c r="A10" s="21"/>
      <c r="B10" s="6"/>
      <c r="C10" s="5" t="s">
        <v>32</v>
      </c>
      <c r="D10" s="22"/>
      <c r="E10" s="22"/>
      <c r="F10" s="22"/>
      <c r="G10" s="22"/>
      <c r="H10" s="23"/>
      <c r="I10" s="20"/>
      <c r="J10" s="20"/>
      <c r="K10" s="20"/>
      <c r="L10" s="20"/>
      <c r="M10" s="20"/>
      <c r="N10" s="20"/>
      <c r="O10" s="20"/>
      <c r="P10" s="26"/>
      <c r="Q10" s="26"/>
      <c r="R10" s="26"/>
      <c r="S10" s="26"/>
      <c r="T10" s="26"/>
      <c r="U10" s="26"/>
      <c r="V10" s="26"/>
      <c r="W10" s="26"/>
      <c r="X10" s="24"/>
      <c r="Y10" s="24"/>
    </row>
    <row r="11" ht="16.5" customHeight="1" spans="1:25">
      <c r="A11" s="6">
        <v>2</v>
      </c>
      <c r="B11" s="6">
        <v>16</v>
      </c>
      <c r="C11" s="18" t="s">
        <v>27</v>
      </c>
      <c r="D11" s="19"/>
      <c r="E11" s="19"/>
      <c r="F11" s="19"/>
      <c r="G11" s="19"/>
      <c r="H11" s="20"/>
      <c r="I11" s="20"/>
      <c r="J11" s="20"/>
      <c r="K11" s="20"/>
      <c r="L11" s="20"/>
      <c r="M11" s="20"/>
      <c r="N11" s="20"/>
      <c r="O11" s="20"/>
      <c r="P11" s="26"/>
      <c r="Q11" s="26"/>
      <c r="R11" s="26"/>
      <c r="S11" s="26"/>
      <c r="T11" s="26"/>
      <c r="U11" s="26"/>
      <c r="V11" s="26"/>
      <c r="W11" s="26"/>
      <c r="X11" s="24"/>
      <c r="Y11" s="24"/>
    </row>
    <row r="12" ht="16.5" customHeight="1" spans="1:25">
      <c r="A12" s="6">
        <v>2</v>
      </c>
      <c r="B12" s="6">
        <v>35</v>
      </c>
      <c r="C12" s="18" t="s">
        <v>28</v>
      </c>
      <c r="D12" s="19"/>
      <c r="E12" s="19"/>
      <c r="F12" s="19"/>
      <c r="G12" s="19"/>
      <c r="H12" s="20"/>
      <c r="I12" s="20"/>
      <c r="J12" s="20"/>
      <c r="K12" s="20"/>
      <c r="L12" s="20"/>
      <c r="M12" s="20"/>
      <c r="N12" s="20"/>
      <c r="O12" s="20"/>
      <c r="P12" s="26"/>
      <c r="Q12" s="26"/>
      <c r="R12" s="26"/>
      <c r="S12" s="26"/>
      <c r="T12" s="26"/>
      <c r="U12" s="26"/>
      <c r="V12" s="26"/>
      <c r="W12" s="26"/>
      <c r="X12" s="24"/>
      <c r="Y12" s="24"/>
    </row>
    <row r="13" ht="16.5" customHeight="1" spans="1:25">
      <c r="A13" s="6">
        <v>2</v>
      </c>
      <c r="B13" s="6">
        <v>36</v>
      </c>
      <c r="C13" s="18" t="s">
        <v>29</v>
      </c>
      <c r="D13" s="19"/>
      <c r="E13" s="19"/>
      <c r="F13" s="19"/>
      <c r="G13" s="19"/>
      <c r="H13" s="20"/>
      <c r="I13" s="20"/>
      <c r="J13" s="20"/>
      <c r="K13" s="20"/>
      <c r="L13" s="20"/>
      <c r="M13" s="20"/>
      <c r="N13" s="20"/>
      <c r="O13" s="20"/>
      <c r="P13" s="26"/>
      <c r="Q13" s="26"/>
      <c r="R13" s="26"/>
      <c r="S13" s="26"/>
      <c r="T13" s="26"/>
      <c r="U13" s="26"/>
      <c r="V13" s="26"/>
      <c r="W13" s="26"/>
      <c r="X13" s="24"/>
      <c r="Y13" s="24"/>
    </row>
    <row r="14" ht="16.5" customHeight="1" spans="1:25">
      <c r="A14" s="6">
        <v>2</v>
      </c>
      <c r="B14" s="6">
        <v>46</v>
      </c>
      <c r="C14" s="18" t="s">
        <v>30</v>
      </c>
      <c r="D14" s="19"/>
      <c r="E14" s="19"/>
      <c r="F14" s="19"/>
      <c r="G14" s="19"/>
      <c r="H14" s="20"/>
      <c r="I14" s="20"/>
      <c r="J14" s="20"/>
      <c r="K14" s="20"/>
      <c r="L14" s="20"/>
      <c r="M14" s="20"/>
      <c r="N14" s="20"/>
      <c r="O14" s="20"/>
      <c r="P14" s="26"/>
      <c r="Q14" s="26"/>
      <c r="R14" s="26"/>
      <c r="S14" s="26"/>
      <c r="T14" s="26"/>
      <c r="U14" s="26"/>
      <c r="V14" s="26"/>
      <c r="W14" s="26"/>
      <c r="X14" s="24"/>
      <c r="Y14" s="24"/>
    </row>
    <row r="15" s="9" customFormat="1" ht="16.5" customHeight="1" spans="1:25">
      <c r="A15" s="21"/>
      <c r="B15" s="6"/>
      <c r="C15" s="5" t="s">
        <v>31</v>
      </c>
      <c r="D15" s="22"/>
      <c r="E15" s="22"/>
      <c r="F15" s="22"/>
      <c r="G15" s="22"/>
      <c r="H15" s="22"/>
      <c r="I15" s="20"/>
      <c r="J15" s="20"/>
      <c r="K15" s="20"/>
      <c r="L15" s="20"/>
      <c r="M15" s="20"/>
      <c r="N15" s="20"/>
      <c r="O15" s="20"/>
      <c r="P15" s="26"/>
      <c r="Q15" s="26"/>
      <c r="R15" s="26"/>
      <c r="S15" s="26"/>
      <c r="T15" s="26"/>
      <c r="U15" s="26"/>
      <c r="V15" s="26"/>
      <c r="W15" s="26"/>
      <c r="X15" s="24"/>
      <c r="Y15" s="24"/>
    </row>
    <row r="16" s="9" customFormat="1" ht="16.5" customHeight="1" spans="1:25">
      <c r="A16" s="21"/>
      <c r="B16" s="6"/>
      <c r="C16" s="5" t="s">
        <v>32</v>
      </c>
      <c r="D16" s="22"/>
      <c r="E16" s="22"/>
      <c r="F16" s="22"/>
      <c r="G16" s="22"/>
      <c r="H16" s="23"/>
      <c r="I16" s="20"/>
      <c r="J16" s="20"/>
      <c r="K16" s="20"/>
      <c r="L16" s="20"/>
      <c r="M16" s="20"/>
      <c r="N16" s="20"/>
      <c r="O16" s="20"/>
      <c r="P16" s="26"/>
      <c r="Q16" s="26"/>
      <c r="R16" s="26"/>
      <c r="S16" s="26"/>
      <c r="T16" s="26"/>
      <c r="U16" s="26"/>
      <c r="V16" s="26"/>
      <c r="W16" s="26"/>
      <c r="X16" s="24"/>
      <c r="Y16" s="24"/>
    </row>
    <row r="17" ht="16.5" customHeight="1" spans="1:25">
      <c r="A17" s="6">
        <v>3</v>
      </c>
      <c r="B17" s="6">
        <v>15</v>
      </c>
      <c r="C17" s="18" t="s">
        <v>27</v>
      </c>
      <c r="D17" s="19"/>
      <c r="E17" s="19"/>
      <c r="F17" s="19"/>
      <c r="G17" s="19"/>
      <c r="H17" s="20"/>
      <c r="I17" s="20"/>
      <c r="J17" s="20"/>
      <c r="K17" s="20"/>
      <c r="L17" s="20"/>
      <c r="M17" s="20"/>
      <c r="N17" s="20"/>
      <c r="O17" s="20"/>
      <c r="P17" s="26"/>
      <c r="Q17" s="26"/>
      <c r="R17" s="26"/>
      <c r="S17" s="26"/>
      <c r="T17" s="26"/>
      <c r="U17" s="26"/>
      <c r="V17" s="26"/>
      <c r="W17" s="26"/>
      <c r="X17" s="24"/>
      <c r="Y17" s="24"/>
    </row>
    <row r="18" ht="16.5" customHeight="1" spans="1:25">
      <c r="A18" s="6">
        <v>3</v>
      </c>
      <c r="B18" s="6">
        <v>49</v>
      </c>
      <c r="C18" s="18" t="s">
        <v>28</v>
      </c>
      <c r="D18" s="19"/>
      <c r="E18" s="19"/>
      <c r="F18" s="19"/>
      <c r="G18" s="19"/>
      <c r="H18" s="20"/>
      <c r="I18" s="20"/>
      <c r="J18" s="20"/>
      <c r="K18" s="20"/>
      <c r="L18" s="20"/>
      <c r="M18" s="20"/>
      <c r="N18" s="20"/>
      <c r="O18" s="20"/>
      <c r="P18" s="26"/>
      <c r="Q18" s="26"/>
      <c r="R18" s="26"/>
      <c r="S18" s="26"/>
      <c r="T18" s="26"/>
      <c r="U18" s="26"/>
      <c r="V18" s="26"/>
      <c r="W18" s="26"/>
      <c r="X18" s="24"/>
      <c r="Y18" s="24"/>
    </row>
    <row r="19" ht="16.5" customHeight="1" spans="1:25">
      <c r="A19" s="6">
        <v>3</v>
      </c>
      <c r="B19" s="6">
        <v>16</v>
      </c>
      <c r="C19" s="18" t="s">
        <v>29</v>
      </c>
      <c r="D19" s="19"/>
      <c r="E19" s="19"/>
      <c r="F19" s="19"/>
      <c r="G19" s="19"/>
      <c r="H19" s="20"/>
      <c r="I19" s="20"/>
      <c r="J19" s="20"/>
      <c r="K19" s="20"/>
      <c r="L19" s="20"/>
      <c r="M19" s="20"/>
      <c r="N19" s="20"/>
      <c r="O19" s="20"/>
      <c r="P19" s="26"/>
      <c r="Q19" s="26"/>
      <c r="R19" s="26"/>
      <c r="S19" s="26"/>
      <c r="T19" s="26"/>
      <c r="U19" s="26"/>
      <c r="V19" s="26"/>
      <c r="W19" s="26"/>
      <c r="X19" s="24"/>
      <c r="Y19" s="24"/>
    </row>
    <row r="20" ht="16.5" customHeight="1" spans="1:25">
      <c r="A20" s="6">
        <v>3</v>
      </c>
      <c r="B20" s="6">
        <v>17</v>
      </c>
      <c r="C20" s="18" t="s">
        <v>30</v>
      </c>
      <c r="D20" s="19"/>
      <c r="E20" s="19"/>
      <c r="F20" s="19"/>
      <c r="G20" s="19"/>
      <c r="H20" s="20"/>
      <c r="I20" s="20"/>
      <c r="J20" s="20"/>
      <c r="K20" s="20"/>
      <c r="L20" s="20"/>
      <c r="M20" s="20"/>
      <c r="N20" s="20"/>
      <c r="O20" s="20"/>
      <c r="P20" s="26"/>
      <c r="Q20" s="26"/>
      <c r="R20" s="26"/>
      <c r="S20" s="26"/>
      <c r="T20" s="26"/>
      <c r="U20" s="26"/>
      <c r="V20" s="26"/>
      <c r="W20" s="26"/>
      <c r="X20" s="24"/>
      <c r="Y20" s="24"/>
    </row>
    <row r="21" s="9" customFormat="1" ht="16.5" customHeight="1" spans="1:25">
      <c r="A21" s="21"/>
      <c r="B21" s="6"/>
      <c r="C21" s="5" t="s">
        <v>31</v>
      </c>
      <c r="D21" s="22"/>
      <c r="E21" s="22"/>
      <c r="F21" s="22"/>
      <c r="G21" s="22"/>
      <c r="H21" s="23"/>
      <c r="I21" s="20"/>
      <c r="J21" s="20"/>
      <c r="K21" s="20"/>
      <c r="L21" s="20"/>
      <c r="M21" s="20"/>
      <c r="N21" s="20"/>
      <c r="O21" s="20"/>
      <c r="P21" s="26"/>
      <c r="Q21" s="26"/>
      <c r="R21" s="26"/>
      <c r="S21" s="26"/>
      <c r="T21" s="26"/>
      <c r="U21" s="26"/>
      <c r="V21" s="26"/>
      <c r="W21" s="26"/>
      <c r="X21" s="24"/>
      <c r="Y21" s="24"/>
    </row>
    <row r="22" s="9" customFormat="1" ht="16.5" customHeight="1" spans="1:25">
      <c r="A22" s="21"/>
      <c r="B22" s="6"/>
      <c r="C22" s="5" t="s">
        <v>32</v>
      </c>
      <c r="D22" s="22"/>
      <c r="E22" s="22"/>
      <c r="F22" s="22"/>
      <c r="G22" s="22"/>
      <c r="H22" s="23"/>
      <c r="I22" s="20"/>
      <c r="J22" s="20"/>
      <c r="K22" s="20"/>
      <c r="L22" s="20"/>
      <c r="M22" s="20"/>
      <c r="N22" s="20"/>
      <c r="O22" s="20"/>
      <c r="P22" s="26"/>
      <c r="Q22" s="26"/>
      <c r="R22" s="26"/>
      <c r="S22" s="26"/>
      <c r="T22" s="26"/>
      <c r="U22" s="26"/>
      <c r="V22" s="26"/>
      <c r="W22" s="26"/>
      <c r="X22" s="24"/>
      <c r="Y22" s="24"/>
    </row>
    <row r="23" ht="16.5" customHeight="1" spans="1:25">
      <c r="A23" s="6">
        <v>4</v>
      </c>
      <c r="B23" s="6">
        <v>12</v>
      </c>
      <c r="C23" s="18" t="s">
        <v>27</v>
      </c>
      <c r="D23" s="19"/>
      <c r="E23" s="19"/>
      <c r="F23" s="19"/>
      <c r="G23" s="19"/>
      <c r="H23" s="20"/>
      <c r="I23" s="20"/>
      <c r="J23" s="20"/>
      <c r="K23" s="20"/>
      <c r="L23" s="20"/>
      <c r="M23" s="20"/>
      <c r="N23" s="20"/>
      <c r="O23" s="20"/>
      <c r="P23" s="26"/>
      <c r="Q23" s="26"/>
      <c r="R23" s="26"/>
      <c r="S23" s="26"/>
      <c r="T23" s="26"/>
      <c r="U23" s="26"/>
      <c r="V23" s="26"/>
      <c r="W23" s="26"/>
      <c r="X23" s="24"/>
      <c r="Y23" s="24"/>
    </row>
    <row r="24" ht="16.5" customHeight="1" spans="1:25">
      <c r="A24" s="6">
        <v>4</v>
      </c>
      <c r="B24" s="6">
        <v>60</v>
      </c>
      <c r="C24" s="18" t="s">
        <v>28</v>
      </c>
      <c r="D24" s="19"/>
      <c r="E24" s="19"/>
      <c r="F24" s="19"/>
      <c r="G24" s="19"/>
      <c r="H24" s="20"/>
      <c r="I24" s="20"/>
      <c r="J24" s="20"/>
      <c r="K24" s="20"/>
      <c r="L24" s="20"/>
      <c r="M24" s="20"/>
      <c r="N24" s="20"/>
      <c r="O24" s="20"/>
      <c r="P24" s="26"/>
      <c r="Q24" s="26"/>
      <c r="R24" s="26"/>
      <c r="S24" s="26"/>
      <c r="T24" s="26"/>
      <c r="U24" s="26"/>
      <c r="V24" s="26"/>
      <c r="W24" s="26"/>
      <c r="X24" s="24"/>
      <c r="Y24" s="24"/>
    </row>
    <row r="25" ht="16.5" customHeight="1" spans="1:25">
      <c r="A25" s="6">
        <v>4</v>
      </c>
      <c r="B25" s="6">
        <v>56</v>
      </c>
      <c r="C25" s="18" t="s">
        <v>29</v>
      </c>
      <c r="D25" s="19"/>
      <c r="E25" s="19"/>
      <c r="F25" s="19"/>
      <c r="G25" s="19"/>
      <c r="H25" s="20"/>
      <c r="I25" s="20"/>
      <c r="J25" s="20"/>
      <c r="K25" s="20"/>
      <c r="L25" s="20"/>
      <c r="M25" s="20"/>
      <c r="N25" s="20"/>
      <c r="O25" s="20"/>
      <c r="P25" s="26"/>
      <c r="Q25" s="26"/>
      <c r="R25" s="26"/>
      <c r="S25" s="26"/>
      <c r="T25" s="26"/>
      <c r="U25" s="26"/>
      <c r="V25" s="26"/>
      <c r="W25" s="26"/>
      <c r="X25" s="24"/>
      <c r="Y25" s="24"/>
    </row>
    <row r="26" ht="16.5" customHeight="1" spans="1:25">
      <c r="A26" s="6">
        <v>4</v>
      </c>
      <c r="B26" s="6">
        <v>2</v>
      </c>
      <c r="C26" s="18" t="s">
        <v>30</v>
      </c>
      <c r="D26" s="19"/>
      <c r="E26" s="19"/>
      <c r="F26" s="19"/>
      <c r="G26" s="19"/>
      <c r="H26" s="20"/>
      <c r="I26" s="20"/>
      <c r="J26" s="20"/>
      <c r="K26" s="20"/>
      <c r="L26" s="20"/>
      <c r="M26" s="20"/>
      <c r="N26" s="20"/>
      <c r="O26" s="20"/>
      <c r="P26" s="26"/>
      <c r="Q26" s="26"/>
      <c r="R26" s="26"/>
      <c r="S26" s="26"/>
      <c r="T26" s="26"/>
      <c r="U26" s="26"/>
      <c r="V26" s="26"/>
      <c r="W26" s="26"/>
      <c r="X26" s="24"/>
      <c r="Y26" s="24"/>
    </row>
    <row r="27" s="10" customFormat="1" ht="16.5" customHeight="1" spans="1:25">
      <c r="A27" s="21"/>
      <c r="B27" s="6"/>
      <c r="C27" s="5" t="s">
        <v>31</v>
      </c>
      <c r="D27" s="22"/>
      <c r="E27" s="22"/>
      <c r="F27" s="22"/>
      <c r="G27" s="22"/>
      <c r="H27" s="22"/>
      <c r="I27" s="20"/>
      <c r="J27" s="20"/>
      <c r="K27" s="20"/>
      <c r="L27" s="20"/>
      <c r="M27" s="20"/>
      <c r="N27" s="20"/>
      <c r="O27" s="20"/>
      <c r="P27" s="26"/>
      <c r="Q27" s="26"/>
      <c r="R27" s="26"/>
      <c r="S27" s="26"/>
      <c r="T27" s="26"/>
      <c r="U27" s="26"/>
      <c r="V27" s="26"/>
      <c r="W27" s="26"/>
      <c r="X27" s="24"/>
      <c r="Y27" s="24"/>
    </row>
    <row r="28" s="10" customFormat="1" ht="16.5" customHeight="1" spans="1:25">
      <c r="A28" s="21"/>
      <c r="B28" s="6"/>
      <c r="C28" s="5" t="s">
        <v>32</v>
      </c>
      <c r="D28" s="22"/>
      <c r="E28" s="22"/>
      <c r="F28" s="22"/>
      <c r="G28" s="22"/>
      <c r="H28" s="23"/>
      <c r="I28" s="20"/>
      <c r="J28" s="20"/>
      <c r="K28" s="20"/>
      <c r="L28" s="20"/>
      <c r="M28" s="20"/>
      <c r="N28" s="20"/>
      <c r="O28" s="20"/>
      <c r="P28" s="26"/>
      <c r="Q28" s="26"/>
      <c r="R28" s="26"/>
      <c r="S28" s="26"/>
      <c r="T28" s="26"/>
      <c r="U28" s="26"/>
      <c r="V28" s="26"/>
      <c r="W28" s="26"/>
      <c r="X28" s="24"/>
      <c r="Y28" s="24"/>
    </row>
    <row r="29" ht="16.5" customHeight="1" spans="1:25">
      <c r="A29" s="6">
        <v>5</v>
      </c>
      <c r="B29" s="6">
        <v>16</v>
      </c>
      <c r="C29" s="18" t="s">
        <v>27</v>
      </c>
      <c r="D29" s="19"/>
      <c r="E29" s="19"/>
      <c r="F29" s="19"/>
      <c r="G29" s="19"/>
      <c r="H29" s="20"/>
      <c r="I29" s="20"/>
      <c r="J29" s="20"/>
      <c r="K29" s="20"/>
      <c r="L29" s="20"/>
      <c r="M29" s="20"/>
      <c r="N29" s="20"/>
      <c r="O29" s="20"/>
      <c r="P29" s="26"/>
      <c r="Q29" s="26"/>
      <c r="R29" s="26"/>
      <c r="S29" s="26"/>
      <c r="T29" s="26"/>
      <c r="U29" s="26"/>
      <c r="V29" s="26"/>
      <c r="W29" s="26"/>
      <c r="X29" s="24"/>
      <c r="Y29" s="24"/>
    </row>
    <row r="30" ht="16.5" customHeight="1" spans="1:25">
      <c r="A30" s="6">
        <v>5</v>
      </c>
      <c r="B30" s="6">
        <v>56</v>
      </c>
      <c r="C30" s="18" t="s">
        <v>28</v>
      </c>
      <c r="D30" s="19"/>
      <c r="E30" s="19"/>
      <c r="F30" s="19"/>
      <c r="G30" s="19"/>
      <c r="H30" s="20"/>
      <c r="I30" s="20"/>
      <c r="J30" s="20"/>
      <c r="K30" s="20"/>
      <c r="L30" s="20"/>
      <c r="M30" s="20"/>
      <c r="N30" s="20"/>
      <c r="O30" s="20"/>
      <c r="P30" s="26"/>
      <c r="Q30" s="26"/>
      <c r="R30" s="26"/>
      <c r="S30" s="26"/>
      <c r="T30" s="26"/>
      <c r="U30" s="26"/>
      <c r="V30" s="26"/>
      <c r="W30" s="26"/>
      <c r="X30" s="24"/>
      <c r="Y30" s="24"/>
    </row>
    <row r="31" ht="16.5" customHeight="1" spans="1:25">
      <c r="A31" s="6">
        <v>5</v>
      </c>
      <c r="B31" s="6">
        <v>22</v>
      </c>
      <c r="C31" s="18" t="s">
        <v>29</v>
      </c>
      <c r="D31" s="19"/>
      <c r="E31" s="19"/>
      <c r="F31" s="19"/>
      <c r="G31" s="19"/>
      <c r="H31" s="20"/>
      <c r="I31" s="20"/>
      <c r="J31" s="20"/>
      <c r="K31" s="20"/>
      <c r="L31" s="20"/>
      <c r="M31" s="20"/>
      <c r="N31" s="20"/>
      <c r="O31" s="20"/>
      <c r="P31" s="26"/>
      <c r="Q31" s="26"/>
      <c r="R31" s="26"/>
      <c r="S31" s="26"/>
      <c r="T31" s="26"/>
      <c r="U31" s="26"/>
      <c r="V31" s="26"/>
      <c r="W31" s="26"/>
      <c r="X31" s="24"/>
      <c r="Y31" s="24"/>
    </row>
    <row r="32" ht="16.5" customHeight="1" spans="1:25">
      <c r="A32" s="6">
        <v>5</v>
      </c>
      <c r="B32" s="6">
        <v>2</v>
      </c>
      <c r="C32" s="18" t="s">
        <v>30</v>
      </c>
      <c r="D32" s="19"/>
      <c r="E32" s="19"/>
      <c r="F32" s="19"/>
      <c r="G32" s="19"/>
      <c r="H32" s="20"/>
      <c r="I32" s="20"/>
      <c r="J32" s="20"/>
      <c r="K32" s="20"/>
      <c r="L32" s="20"/>
      <c r="M32" s="20"/>
      <c r="N32" s="20"/>
      <c r="O32" s="20"/>
      <c r="P32" s="26"/>
      <c r="Q32" s="26"/>
      <c r="R32" s="26"/>
      <c r="S32" s="26"/>
      <c r="T32" s="26"/>
      <c r="U32" s="26"/>
      <c r="V32" s="26"/>
      <c r="W32" s="26"/>
      <c r="X32" s="24"/>
      <c r="Y32" s="24"/>
    </row>
    <row r="33" s="9" customFormat="1" ht="16.5" customHeight="1" spans="1:25">
      <c r="A33" s="21"/>
      <c r="B33" s="6"/>
      <c r="C33" s="5" t="s">
        <v>31</v>
      </c>
      <c r="D33" s="22"/>
      <c r="E33" s="22"/>
      <c r="F33" s="22"/>
      <c r="G33" s="22"/>
      <c r="H33" s="22"/>
      <c r="I33" s="20"/>
      <c r="J33" s="20"/>
      <c r="K33" s="20"/>
      <c r="L33" s="20"/>
      <c r="M33" s="20"/>
      <c r="N33" s="20"/>
      <c r="O33" s="20"/>
      <c r="P33" s="26"/>
      <c r="Q33" s="26"/>
      <c r="R33" s="26"/>
      <c r="S33" s="26"/>
      <c r="T33" s="26"/>
      <c r="U33" s="26"/>
      <c r="V33" s="26"/>
      <c r="W33" s="26"/>
      <c r="X33" s="24"/>
      <c r="Y33" s="24"/>
    </row>
    <row r="34" s="9" customFormat="1" ht="16.5" customHeight="1" spans="1:25">
      <c r="A34" s="21"/>
      <c r="B34" s="6"/>
      <c r="C34" s="5" t="s">
        <v>32</v>
      </c>
      <c r="D34" s="22"/>
      <c r="E34" s="22"/>
      <c r="F34" s="22"/>
      <c r="G34" s="22"/>
      <c r="H34" s="23"/>
      <c r="I34" s="20"/>
      <c r="J34" s="20"/>
      <c r="K34" s="20"/>
      <c r="L34" s="20"/>
      <c r="M34" s="20"/>
      <c r="N34" s="20"/>
      <c r="O34" s="20"/>
      <c r="P34" s="26"/>
      <c r="Q34" s="26"/>
      <c r="R34" s="26"/>
      <c r="S34" s="26"/>
      <c r="T34" s="26"/>
      <c r="U34" s="26"/>
      <c r="V34" s="26"/>
      <c r="W34" s="26"/>
      <c r="X34" s="24"/>
      <c r="Y34" s="24"/>
    </row>
    <row r="35" ht="16.5" customHeight="1" spans="1:25">
      <c r="A35" s="6">
        <v>6</v>
      </c>
      <c r="B35" s="6">
        <v>20</v>
      </c>
      <c r="C35" s="18" t="s">
        <v>27</v>
      </c>
      <c r="D35" s="19"/>
      <c r="E35" s="19"/>
      <c r="F35" s="19"/>
      <c r="G35" s="19"/>
      <c r="H35" s="20"/>
      <c r="I35" s="20"/>
      <c r="J35" s="20"/>
      <c r="K35" s="20"/>
      <c r="L35" s="20"/>
      <c r="M35" s="20"/>
      <c r="N35" s="20"/>
      <c r="O35" s="20"/>
      <c r="P35" s="26"/>
      <c r="Q35" s="26"/>
      <c r="R35" s="26"/>
      <c r="S35" s="26"/>
      <c r="T35" s="26"/>
      <c r="U35" s="26"/>
      <c r="V35" s="26"/>
      <c r="W35" s="26"/>
      <c r="X35" s="24"/>
      <c r="Y35" s="24"/>
    </row>
    <row r="36" ht="16.5" customHeight="1" spans="1:25">
      <c r="A36" s="6">
        <v>6</v>
      </c>
      <c r="B36" s="6">
        <v>52</v>
      </c>
      <c r="C36" s="18" t="s">
        <v>28</v>
      </c>
      <c r="D36" s="19"/>
      <c r="E36" s="19"/>
      <c r="F36" s="19"/>
      <c r="G36" s="19"/>
      <c r="H36" s="20"/>
      <c r="I36" s="20"/>
      <c r="J36" s="20"/>
      <c r="K36" s="20"/>
      <c r="L36" s="20"/>
      <c r="M36" s="20"/>
      <c r="N36" s="20"/>
      <c r="O36" s="20"/>
      <c r="P36" s="26"/>
      <c r="Q36" s="26"/>
      <c r="R36" s="26"/>
      <c r="S36" s="26"/>
      <c r="T36" s="26"/>
      <c r="U36" s="26"/>
      <c r="V36" s="26"/>
      <c r="W36" s="26"/>
      <c r="X36" s="24"/>
      <c r="Y36" s="24"/>
    </row>
    <row r="37" ht="16.5" customHeight="1" spans="1:25">
      <c r="A37" s="6">
        <v>6</v>
      </c>
      <c r="B37" s="6">
        <v>56</v>
      </c>
      <c r="C37" s="18" t="s">
        <v>29</v>
      </c>
      <c r="D37" s="19"/>
      <c r="E37" s="19"/>
      <c r="F37" s="19"/>
      <c r="G37" s="19"/>
      <c r="H37" s="20"/>
      <c r="I37" s="20"/>
      <c r="J37" s="20"/>
      <c r="K37" s="20"/>
      <c r="L37" s="20"/>
      <c r="M37" s="20"/>
      <c r="N37" s="20"/>
      <c r="O37" s="20"/>
      <c r="P37" s="26"/>
      <c r="Q37" s="26"/>
      <c r="R37" s="26"/>
      <c r="S37" s="26"/>
      <c r="T37" s="26"/>
      <c r="U37" s="26"/>
      <c r="V37" s="26"/>
      <c r="W37" s="26"/>
      <c r="X37" s="24"/>
      <c r="Y37" s="24"/>
    </row>
    <row r="38" ht="16.5" customHeight="1" spans="1:25">
      <c r="A38" s="6">
        <v>6</v>
      </c>
      <c r="B38" s="6">
        <v>2</v>
      </c>
      <c r="C38" s="18" t="s">
        <v>30</v>
      </c>
      <c r="D38" s="19"/>
      <c r="E38" s="19"/>
      <c r="F38" s="19"/>
      <c r="G38" s="19"/>
      <c r="H38" s="20"/>
      <c r="I38" s="20"/>
      <c r="J38" s="20"/>
      <c r="K38" s="20"/>
      <c r="L38" s="20"/>
      <c r="M38" s="20"/>
      <c r="N38" s="20"/>
      <c r="O38" s="20"/>
      <c r="P38" s="26"/>
      <c r="Q38" s="26"/>
      <c r="R38" s="26"/>
      <c r="S38" s="26"/>
      <c r="T38" s="26"/>
      <c r="U38" s="26"/>
      <c r="V38" s="26"/>
      <c r="W38" s="26"/>
      <c r="X38" s="24"/>
      <c r="Y38" s="24"/>
    </row>
    <row r="39" s="9" customFormat="1" ht="16.5" customHeight="1" spans="1:25">
      <c r="A39" s="21"/>
      <c r="B39" s="6"/>
      <c r="C39" s="5" t="s">
        <v>31</v>
      </c>
      <c r="D39" s="22"/>
      <c r="E39" s="22"/>
      <c r="F39" s="22"/>
      <c r="G39" s="22"/>
      <c r="H39" s="22"/>
      <c r="I39" s="20"/>
      <c r="J39" s="20"/>
      <c r="K39" s="20"/>
      <c r="L39" s="20"/>
      <c r="M39" s="20"/>
      <c r="N39" s="20"/>
      <c r="O39" s="20"/>
      <c r="P39" s="26"/>
      <c r="Q39" s="26"/>
      <c r="R39" s="26"/>
      <c r="S39" s="26"/>
      <c r="T39" s="26"/>
      <c r="U39" s="26"/>
      <c r="V39" s="26"/>
      <c r="W39" s="26"/>
      <c r="X39" s="24"/>
      <c r="Y39" s="24"/>
    </row>
    <row r="40" s="9" customFormat="1" ht="16.5" customHeight="1" spans="1:25">
      <c r="A40" s="21"/>
      <c r="B40" s="6"/>
      <c r="C40" s="5" t="s">
        <v>32</v>
      </c>
      <c r="D40" s="22"/>
      <c r="E40" s="22"/>
      <c r="F40" s="22"/>
      <c r="G40" s="22"/>
      <c r="H40" s="23"/>
      <c r="I40" s="20"/>
      <c r="J40" s="20"/>
      <c r="K40" s="20"/>
      <c r="L40" s="20"/>
      <c r="M40" s="20"/>
      <c r="N40" s="20"/>
      <c r="O40" s="20"/>
      <c r="P40" s="26"/>
      <c r="Q40" s="26"/>
      <c r="R40" s="26"/>
      <c r="S40" s="26"/>
      <c r="T40" s="26"/>
      <c r="U40" s="26"/>
      <c r="V40" s="26"/>
      <c r="W40" s="26"/>
      <c r="X40" s="24"/>
      <c r="Y40" s="24"/>
    </row>
    <row r="41" ht="16.5" customHeight="1" spans="1:25">
      <c r="A41" s="6">
        <v>7</v>
      </c>
      <c r="B41" s="6">
        <v>23</v>
      </c>
      <c r="C41" s="18" t="s">
        <v>27</v>
      </c>
      <c r="D41" s="19"/>
      <c r="E41" s="19"/>
      <c r="F41" s="19"/>
      <c r="G41" s="19"/>
      <c r="H41" s="20"/>
      <c r="I41" s="20"/>
      <c r="J41" s="20"/>
      <c r="K41" s="20"/>
      <c r="L41" s="20"/>
      <c r="M41" s="20"/>
      <c r="N41" s="20"/>
      <c r="O41" s="20"/>
      <c r="P41" s="26"/>
      <c r="Q41" s="26"/>
      <c r="R41" s="26"/>
      <c r="S41" s="26"/>
      <c r="T41" s="26"/>
      <c r="U41" s="26"/>
      <c r="V41" s="26"/>
      <c r="W41" s="26"/>
      <c r="X41" s="24"/>
      <c r="Y41" s="24"/>
    </row>
    <row r="42" ht="16.5" customHeight="1" spans="1:25">
      <c r="A42" s="6">
        <v>7</v>
      </c>
      <c r="B42" s="6">
        <v>79</v>
      </c>
      <c r="C42" s="18" t="s">
        <v>28</v>
      </c>
      <c r="D42" s="19"/>
      <c r="E42" s="19"/>
      <c r="F42" s="19"/>
      <c r="G42" s="19"/>
      <c r="H42" s="20"/>
      <c r="I42" s="20"/>
      <c r="J42" s="20"/>
      <c r="K42" s="20"/>
      <c r="L42" s="20"/>
      <c r="M42" s="20"/>
      <c r="N42" s="20"/>
      <c r="O42" s="20"/>
      <c r="P42" s="26"/>
      <c r="Q42" s="26"/>
      <c r="R42" s="26"/>
      <c r="S42" s="26"/>
      <c r="T42" s="26"/>
      <c r="U42" s="26"/>
      <c r="V42" s="26"/>
      <c r="W42" s="26"/>
      <c r="X42" s="24"/>
      <c r="Y42" s="24"/>
    </row>
    <row r="43" ht="16.5" customHeight="1" spans="1:25">
      <c r="A43" s="6">
        <v>7</v>
      </c>
      <c r="B43" s="6">
        <v>68</v>
      </c>
      <c r="C43" s="18" t="s">
        <v>29</v>
      </c>
      <c r="D43" s="19"/>
      <c r="E43" s="19"/>
      <c r="F43" s="19"/>
      <c r="G43" s="19"/>
      <c r="H43" s="20"/>
      <c r="I43" s="20"/>
      <c r="J43" s="20"/>
      <c r="K43" s="20"/>
      <c r="L43" s="20"/>
      <c r="M43" s="20"/>
      <c r="N43" s="20"/>
      <c r="O43" s="20"/>
      <c r="P43" s="26"/>
      <c r="Q43" s="26"/>
      <c r="R43" s="26"/>
      <c r="S43" s="26"/>
      <c r="T43" s="26"/>
      <c r="U43" s="26"/>
      <c r="V43" s="26"/>
      <c r="W43" s="26"/>
      <c r="X43" s="24"/>
      <c r="Y43" s="24"/>
    </row>
    <row r="44" ht="16.5" customHeight="1" spans="1:25">
      <c r="A44" s="6">
        <v>7</v>
      </c>
      <c r="B44" s="6">
        <v>64</v>
      </c>
      <c r="C44" s="18" t="s">
        <v>30</v>
      </c>
      <c r="D44" s="19"/>
      <c r="E44" s="19"/>
      <c r="F44" s="19"/>
      <c r="G44" s="19"/>
      <c r="H44" s="20"/>
      <c r="I44" s="20"/>
      <c r="J44" s="20"/>
      <c r="K44" s="20"/>
      <c r="L44" s="20"/>
      <c r="M44" s="20"/>
      <c r="N44" s="20"/>
      <c r="O44" s="20"/>
      <c r="P44" s="26"/>
      <c r="Q44" s="26"/>
      <c r="R44" s="26"/>
      <c r="S44" s="26"/>
      <c r="T44" s="26"/>
      <c r="U44" s="26"/>
      <c r="V44" s="26"/>
      <c r="W44" s="26"/>
      <c r="X44" s="24"/>
      <c r="Y44" s="24"/>
    </row>
    <row r="45" s="9" customFormat="1" ht="16.5" customHeight="1" spans="1:25">
      <c r="A45" s="21"/>
      <c r="B45" s="6"/>
      <c r="C45" s="5" t="s">
        <v>31</v>
      </c>
      <c r="D45" s="22"/>
      <c r="E45" s="22"/>
      <c r="F45" s="22"/>
      <c r="G45" s="22"/>
      <c r="H45" s="23"/>
      <c r="I45" s="20"/>
      <c r="J45" s="20"/>
      <c r="K45" s="20"/>
      <c r="L45" s="20"/>
      <c r="M45" s="20"/>
      <c r="N45" s="20"/>
      <c r="O45" s="20"/>
      <c r="P45" s="26"/>
      <c r="Q45" s="26"/>
      <c r="R45" s="26"/>
      <c r="S45" s="26"/>
      <c r="T45" s="26"/>
      <c r="U45" s="26"/>
      <c r="V45" s="26"/>
      <c r="W45" s="26"/>
      <c r="X45" s="24"/>
      <c r="Y45" s="24"/>
    </row>
    <row r="46" s="9" customFormat="1" ht="16.5" customHeight="1" spans="1:25">
      <c r="A46" s="21"/>
      <c r="B46" s="6"/>
      <c r="C46" s="5" t="s">
        <v>32</v>
      </c>
      <c r="D46" s="22"/>
      <c r="E46" s="22"/>
      <c r="F46" s="22"/>
      <c r="G46" s="22"/>
      <c r="H46" s="23"/>
      <c r="I46" s="20"/>
      <c r="J46" s="20"/>
      <c r="K46" s="20"/>
      <c r="L46" s="20"/>
      <c r="M46" s="20"/>
      <c r="N46" s="20"/>
      <c r="O46" s="20"/>
      <c r="P46" s="26"/>
      <c r="Q46" s="26"/>
      <c r="R46" s="26"/>
      <c r="S46" s="26"/>
      <c r="T46" s="26"/>
      <c r="U46" s="26"/>
      <c r="V46" s="26"/>
      <c r="W46" s="26"/>
      <c r="X46" s="24"/>
      <c r="Y46" s="24"/>
    </row>
    <row r="47" ht="16.5" customHeight="1" spans="1:25">
      <c r="A47" s="6">
        <v>8</v>
      </c>
      <c r="B47" s="6">
        <v>29</v>
      </c>
      <c r="C47" s="18" t="s">
        <v>27</v>
      </c>
      <c r="D47" s="19"/>
      <c r="E47" s="19"/>
      <c r="F47" s="19"/>
      <c r="G47" s="19"/>
      <c r="H47" s="20"/>
      <c r="I47" s="20"/>
      <c r="J47" s="20"/>
      <c r="K47" s="20"/>
      <c r="L47" s="20"/>
      <c r="M47" s="20"/>
      <c r="N47" s="20"/>
      <c r="O47" s="20"/>
      <c r="P47" s="26"/>
      <c r="Q47" s="26"/>
      <c r="R47" s="26"/>
      <c r="S47" s="26"/>
      <c r="T47" s="26"/>
      <c r="U47" s="26"/>
      <c r="V47" s="26"/>
      <c r="W47" s="26"/>
      <c r="X47" s="24"/>
      <c r="Y47" s="24"/>
    </row>
    <row r="48" ht="16.5" customHeight="1" spans="1:25">
      <c r="A48" s="6">
        <v>8</v>
      </c>
      <c r="B48" s="6">
        <v>66</v>
      </c>
      <c r="C48" s="18" t="s">
        <v>28</v>
      </c>
      <c r="D48" s="19"/>
      <c r="E48" s="19"/>
      <c r="F48" s="19"/>
      <c r="G48" s="19"/>
      <c r="H48" s="20"/>
      <c r="I48" s="20"/>
      <c r="J48" s="20"/>
      <c r="K48" s="20"/>
      <c r="L48" s="20"/>
      <c r="M48" s="20"/>
      <c r="N48" s="20"/>
      <c r="O48" s="20"/>
      <c r="P48" s="26"/>
      <c r="Q48" s="26"/>
      <c r="R48" s="26"/>
      <c r="S48" s="26"/>
      <c r="T48" s="26"/>
      <c r="U48" s="26"/>
      <c r="V48" s="26"/>
      <c r="W48" s="26"/>
      <c r="X48" s="24"/>
      <c r="Y48" s="24"/>
    </row>
    <row r="49" ht="16.5" customHeight="1" spans="1:25">
      <c r="A49" s="6">
        <v>8</v>
      </c>
      <c r="B49" s="6">
        <v>35</v>
      </c>
      <c r="C49" s="18" t="s">
        <v>29</v>
      </c>
      <c r="D49" s="19"/>
      <c r="E49" s="19"/>
      <c r="F49" s="19"/>
      <c r="G49" s="19"/>
      <c r="H49" s="20"/>
      <c r="I49" s="20"/>
      <c r="J49" s="20"/>
      <c r="K49" s="20"/>
      <c r="L49" s="20"/>
      <c r="M49" s="20"/>
      <c r="N49" s="20"/>
      <c r="O49" s="20"/>
      <c r="P49" s="26"/>
      <c r="Q49" s="26"/>
      <c r="R49" s="26"/>
      <c r="S49" s="26"/>
      <c r="T49" s="26"/>
      <c r="U49" s="26"/>
      <c r="V49" s="26"/>
      <c r="W49" s="26"/>
      <c r="X49" s="24"/>
      <c r="Y49" s="24"/>
    </row>
    <row r="50" ht="16.5" customHeight="1" spans="1:25">
      <c r="A50" s="6">
        <v>8</v>
      </c>
      <c r="B50" s="6">
        <v>2</v>
      </c>
      <c r="C50" s="18" t="s">
        <v>30</v>
      </c>
      <c r="D50" s="19"/>
      <c r="E50" s="19"/>
      <c r="F50" s="19"/>
      <c r="G50" s="19"/>
      <c r="H50" s="20"/>
      <c r="I50" s="20"/>
      <c r="J50" s="20"/>
      <c r="K50" s="20"/>
      <c r="L50" s="20"/>
      <c r="M50" s="20"/>
      <c r="N50" s="20"/>
      <c r="O50" s="20"/>
      <c r="P50" s="26"/>
      <c r="Q50" s="26"/>
      <c r="R50" s="26"/>
      <c r="S50" s="26"/>
      <c r="T50" s="26"/>
      <c r="U50" s="26"/>
      <c r="V50" s="26"/>
      <c r="W50" s="26"/>
      <c r="X50" s="24"/>
      <c r="Y50" s="24"/>
    </row>
    <row r="51" s="9" customFormat="1" ht="16.5" customHeight="1" spans="1:25">
      <c r="A51" s="21"/>
      <c r="B51" s="6"/>
      <c r="C51" s="5" t="s">
        <v>31</v>
      </c>
      <c r="D51" s="22"/>
      <c r="E51" s="22"/>
      <c r="F51" s="22"/>
      <c r="G51" s="22"/>
      <c r="H51" s="22"/>
      <c r="I51" s="20"/>
      <c r="J51" s="20"/>
      <c r="K51" s="20"/>
      <c r="L51" s="20"/>
      <c r="M51" s="20"/>
      <c r="N51" s="20"/>
      <c r="O51" s="20"/>
      <c r="P51" s="26"/>
      <c r="Q51" s="26"/>
      <c r="R51" s="26"/>
      <c r="S51" s="26"/>
      <c r="T51" s="26"/>
      <c r="U51" s="26"/>
      <c r="V51" s="26"/>
      <c r="W51" s="26"/>
      <c r="X51" s="24"/>
      <c r="Y51" s="24"/>
    </row>
    <row r="52" s="9" customFormat="1" ht="16.5" customHeight="1" spans="1:25">
      <c r="A52" s="21"/>
      <c r="B52" s="6"/>
      <c r="C52" s="5" t="s">
        <v>32</v>
      </c>
      <c r="D52" s="22"/>
      <c r="E52" s="22"/>
      <c r="F52" s="22"/>
      <c r="G52" s="22"/>
      <c r="H52" s="23"/>
      <c r="I52" s="20"/>
      <c r="J52" s="20"/>
      <c r="K52" s="20"/>
      <c r="L52" s="20"/>
      <c r="M52" s="20"/>
      <c r="N52" s="20"/>
      <c r="O52" s="20"/>
      <c r="P52" s="26"/>
      <c r="Q52" s="26"/>
      <c r="R52" s="26"/>
      <c r="S52" s="26"/>
      <c r="T52" s="26"/>
      <c r="U52" s="26"/>
      <c r="V52" s="26"/>
      <c r="W52" s="26"/>
      <c r="X52" s="24"/>
      <c r="Y52" s="24"/>
    </row>
    <row r="53" s="9" customFormat="1" ht="16.5" customHeight="1" spans="1:25">
      <c r="A53" s="6">
        <v>9</v>
      </c>
      <c r="B53" s="6">
        <v>33</v>
      </c>
      <c r="C53" s="18" t="s">
        <v>27</v>
      </c>
      <c r="D53" s="19"/>
      <c r="E53" s="19"/>
      <c r="F53" s="19"/>
      <c r="G53" s="19"/>
      <c r="H53" s="20"/>
      <c r="I53" s="20"/>
      <c r="J53" s="20"/>
      <c r="K53" s="20"/>
      <c r="L53" s="20"/>
      <c r="M53" s="20"/>
      <c r="N53" s="20"/>
      <c r="O53" s="20"/>
      <c r="P53" s="26"/>
      <c r="Q53" s="26"/>
      <c r="R53" s="26"/>
      <c r="S53" s="26"/>
      <c r="T53" s="26"/>
      <c r="U53" s="26"/>
      <c r="V53" s="26"/>
      <c r="W53" s="26"/>
      <c r="X53" s="24"/>
      <c r="Y53" s="24"/>
    </row>
    <row r="54" s="9" customFormat="1" ht="16.5" customHeight="1" spans="1:25">
      <c r="A54" s="6">
        <v>9</v>
      </c>
      <c r="B54" s="6">
        <v>76</v>
      </c>
      <c r="C54" s="18" t="s">
        <v>28</v>
      </c>
      <c r="D54" s="19"/>
      <c r="E54" s="19"/>
      <c r="F54" s="19"/>
      <c r="G54" s="19"/>
      <c r="H54" s="20"/>
      <c r="I54" s="20"/>
      <c r="J54" s="20"/>
      <c r="K54" s="20"/>
      <c r="L54" s="20"/>
      <c r="M54" s="20"/>
      <c r="N54" s="20"/>
      <c r="O54" s="20"/>
      <c r="P54" s="26"/>
      <c r="Q54" s="26"/>
      <c r="R54" s="26"/>
      <c r="S54" s="26"/>
      <c r="T54" s="26"/>
      <c r="U54" s="26"/>
      <c r="V54" s="26"/>
      <c r="W54" s="26"/>
      <c r="X54" s="24"/>
      <c r="Y54" s="24"/>
    </row>
    <row r="55" s="9" customFormat="1" ht="16.5" customHeight="1" spans="1:25">
      <c r="A55" s="6">
        <v>9</v>
      </c>
      <c r="B55" s="6">
        <v>45</v>
      </c>
      <c r="C55" s="18" t="s">
        <v>29</v>
      </c>
      <c r="D55" s="19"/>
      <c r="E55" s="19"/>
      <c r="F55" s="19"/>
      <c r="G55" s="19"/>
      <c r="H55" s="20"/>
      <c r="I55" s="20"/>
      <c r="J55" s="20"/>
      <c r="K55" s="20"/>
      <c r="L55" s="20"/>
      <c r="M55" s="20"/>
      <c r="N55" s="20"/>
      <c r="O55" s="20"/>
      <c r="P55" s="26"/>
      <c r="Q55" s="26"/>
      <c r="R55" s="26"/>
      <c r="S55" s="26"/>
      <c r="T55" s="26"/>
      <c r="U55" s="26"/>
      <c r="V55" s="26"/>
      <c r="W55" s="26"/>
      <c r="X55" s="24"/>
      <c r="Y55" s="24"/>
    </row>
    <row r="56" s="9" customFormat="1" ht="16.5" customHeight="1" spans="1:25">
      <c r="A56" s="6">
        <v>9</v>
      </c>
      <c r="B56" s="6">
        <v>47</v>
      </c>
      <c r="C56" s="18" t="s">
        <v>30</v>
      </c>
      <c r="D56" s="19"/>
      <c r="E56" s="19"/>
      <c r="F56" s="19"/>
      <c r="G56" s="19"/>
      <c r="H56" s="20"/>
      <c r="I56" s="20"/>
      <c r="J56" s="20"/>
      <c r="K56" s="20"/>
      <c r="L56" s="20"/>
      <c r="M56" s="20"/>
      <c r="N56" s="20"/>
      <c r="O56" s="20"/>
      <c r="P56" s="26"/>
      <c r="Q56" s="26"/>
      <c r="R56" s="26"/>
      <c r="S56" s="26"/>
      <c r="T56" s="26"/>
      <c r="U56" s="26"/>
      <c r="V56" s="26"/>
      <c r="W56" s="26"/>
      <c r="X56" s="24"/>
      <c r="Y56" s="24"/>
    </row>
    <row r="57" s="9" customFormat="1" ht="16.5" customHeight="1" spans="1:25">
      <c r="A57" s="21"/>
      <c r="B57" s="6"/>
      <c r="C57" s="5" t="s">
        <v>31</v>
      </c>
      <c r="D57" s="22"/>
      <c r="E57" s="22"/>
      <c r="F57" s="22"/>
      <c r="G57" s="22"/>
      <c r="H57" s="23"/>
      <c r="I57" s="20"/>
      <c r="J57" s="20"/>
      <c r="K57" s="20"/>
      <c r="L57" s="20"/>
      <c r="M57" s="20"/>
      <c r="N57" s="20"/>
      <c r="O57" s="20"/>
      <c r="P57" s="26"/>
      <c r="Q57" s="26"/>
      <c r="R57" s="26"/>
      <c r="S57" s="26"/>
      <c r="T57" s="26"/>
      <c r="U57" s="26"/>
      <c r="V57" s="26"/>
      <c r="W57" s="26"/>
      <c r="X57" s="24"/>
      <c r="Y57" s="24"/>
    </row>
    <row r="58" s="9" customFormat="1" ht="16.5" customHeight="1" spans="1:25">
      <c r="A58" s="21"/>
      <c r="B58" s="6"/>
      <c r="C58" s="5" t="s">
        <v>32</v>
      </c>
      <c r="D58" s="22"/>
      <c r="E58" s="22"/>
      <c r="F58" s="22"/>
      <c r="G58" s="22"/>
      <c r="H58" s="23"/>
      <c r="I58" s="20"/>
      <c r="J58" s="20"/>
      <c r="K58" s="20"/>
      <c r="L58" s="20"/>
      <c r="M58" s="20"/>
      <c r="N58" s="20"/>
      <c r="O58" s="20"/>
      <c r="P58" s="26"/>
      <c r="Q58" s="26"/>
      <c r="R58" s="26"/>
      <c r="S58" s="26"/>
      <c r="T58" s="26"/>
      <c r="U58" s="26"/>
      <c r="V58" s="26"/>
      <c r="W58" s="26"/>
      <c r="X58" s="24"/>
      <c r="Y58" s="24"/>
    </row>
    <row r="59" ht="16.5" customHeight="1" spans="1:25">
      <c r="A59" s="6">
        <v>10</v>
      </c>
      <c r="B59" s="6">
        <v>14</v>
      </c>
      <c r="C59" s="18" t="s">
        <v>27</v>
      </c>
      <c r="D59" s="19"/>
      <c r="E59" s="24"/>
      <c r="F59" s="24"/>
      <c r="G59" s="24"/>
      <c r="H59" s="20"/>
      <c r="I59" s="20"/>
      <c r="J59" s="20"/>
      <c r="K59" s="20"/>
      <c r="L59" s="20"/>
      <c r="M59" s="20"/>
      <c r="N59" s="20"/>
      <c r="O59" s="20"/>
      <c r="P59" s="26"/>
      <c r="Q59" s="26"/>
      <c r="R59" s="26"/>
      <c r="S59" s="26"/>
      <c r="T59" s="26"/>
      <c r="U59" s="26"/>
      <c r="V59" s="26"/>
      <c r="W59" s="26"/>
      <c r="X59" s="24"/>
      <c r="Y59" s="24"/>
    </row>
    <row r="60" ht="16.5" customHeight="1" spans="1:25">
      <c r="A60" s="6">
        <v>10</v>
      </c>
      <c r="B60" s="6">
        <v>53</v>
      </c>
      <c r="C60" s="18" t="s">
        <v>28</v>
      </c>
      <c r="D60" s="19"/>
      <c r="E60" s="19"/>
      <c r="F60" s="24"/>
      <c r="G60" s="24"/>
      <c r="H60" s="20"/>
      <c r="I60" s="20"/>
      <c r="J60" s="20"/>
      <c r="K60" s="20"/>
      <c r="L60" s="20"/>
      <c r="M60" s="20"/>
      <c r="N60" s="20"/>
      <c r="O60" s="20"/>
      <c r="P60" s="26"/>
      <c r="Q60" s="26"/>
      <c r="R60" s="26"/>
      <c r="S60" s="26"/>
      <c r="T60" s="26"/>
      <c r="U60" s="26"/>
      <c r="V60" s="26"/>
      <c r="W60" s="26"/>
      <c r="X60" s="24"/>
      <c r="Y60" s="24"/>
    </row>
    <row r="61" ht="16.5" customHeight="1" spans="1:25">
      <c r="A61" s="6">
        <v>10</v>
      </c>
      <c r="B61" s="6">
        <v>46</v>
      </c>
      <c r="C61" s="18" t="s">
        <v>29</v>
      </c>
      <c r="D61" s="19"/>
      <c r="E61" s="19"/>
      <c r="F61" s="19"/>
      <c r="G61" s="24"/>
      <c r="H61" s="20"/>
      <c r="I61" s="20"/>
      <c r="J61" s="20"/>
      <c r="K61" s="20"/>
      <c r="L61" s="20"/>
      <c r="M61" s="20"/>
      <c r="N61" s="20"/>
      <c r="O61" s="20"/>
      <c r="P61" s="26"/>
      <c r="Q61" s="26"/>
      <c r="R61" s="26"/>
      <c r="S61" s="26"/>
      <c r="T61" s="26"/>
      <c r="U61" s="26"/>
      <c r="V61" s="26"/>
      <c r="W61" s="26"/>
      <c r="X61" s="24"/>
      <c r="Y61" s="24"/>
    </row>
    <row r="62" ht="16.5" customHeight="1" spans="1:25">
      <c r="A62" s="6">
        <v>10</v>
      </c>
      <c r="B62" s="6">
        <v>34</v>
      </c>
      <c r="C62" s="18" t="s">
        <v>30</v>
      </c>
      <c r="D62" s="19"/>
      <c r="E62" s="24"/>
      <c r="F62" s="19"/>
      <c r="G62" s="19"/>
      <c r="H62" s="20"/>
      <c r="I62" s="20"/>
      <c r="J62" s="20"/>
      <c r="K62" s="20"/>
      <c r="L62" s="20"/>
      <c r="M62" s="20"/>
      <c r="N62" s="20"/>
      <c r="O62" s="20"/>
      <c r="P62" s="26"/>
      <c r="Q62" s="26"/>
      <c r="R62" s="26"/>
      <c r="S62" s="26"/>
      <c r="T62" s="26"/>
      <c r="U62" s="26"/>
      <c r="V62" s="26"/>
      <c r="W62" s="26"/>
      <c r="X62" s="24"/>
      <c r="Y62" s="24"/>
    </row>
    <row r="63" s="10" customFormat="1" ht="16.5" customHeight="1" spans="1:25">
      <c r="A63" s="6"/>
      <c r="B63" s="6"/>
      <c r="C63" s="5" t="s">
        <v>31</v>
      </c>
      <c r="D63" s="22"/>
      <c r="E63" s="22"/>
      <c r="F63" s="22"/>
      <c r="G63" s="22"/>
      <c r="H63" s="23"/>
      <c r="I63" s="20"/>
      <c r="J63" s="20"/>
      <c r="K63" s="20"/>
      <c r="L63" s="20"/>
      <c r="M63" s="20"/>
      <c r="N63" s="20"/>
      <c r="O63" s="20"/>
      <c r="P63" s="26"/>
      <c r="Q63" s="26"/>
      <c r="R63" s="26"/>
      <c r="S63" s="26"/>
      <c r="T63" s="26"/>
      <c r="U63" s="26"/>
      <c r="V63" s="26"/>
      <c r="W63" s="26"/>
      <c r="X63" s="24">
        <f t="shared" ref="X63:X67" si="0">SUM(P63:W63)</f>
        <v>0</v>
      </c>
      <c r="Y63" s="24">
        <f t="shared" ref="Y63:Y76" si="1">SUM(I63:W63)</f>
        <v>0</v>
      </c>
    </row>
    <row r="64" s="10" customFormat="1" ht="16.5" customHeight="1" spans="1:25">
      <c r="A64" s="6"/>
      <c r="B64" s="6"/>
      <c r="C64" s="5" t="s">
        <v>32</v>
      </c>
      <c r="D64" s="22"/>
      <c r="E64" s="22"/>
      <c r="F64" s="22"/>
      <c r="G64" s="22"/>
      <c r="H64" s="23"/>
      <c r="I64" s="20"/>
      <c r="J64" s="20"/>
      <c r="K64" s="20"/>
      <c r="L64" s="20"/>
      <c r="M64" s="20"/>
      <c r="N64" s="20"/>
      <c r="O64" s="20"/>
      <c r="P64" s="26"/>
      <c r="Q64" s="26"/>
      <c r="R64" s="26"/>
      <c r="S64" s="26"/>
      <c r="T64" s="26"/>
      <c r="U64" s="26"/>
      <c r="V64" s="26"/>
      <c r="W64" s="26"/>
      <c r="X64" s="24">
        <f>SUM(P64:W64)</f>
        <v>0</v>
      </c>
      <c r="Y64" s="24">
        <f>SUM(I64:W64)</f>
        <v>0</v>
      </c>
    </row>
    <row r="65" ht="16.5" customHeight="1" spans="1:25">
      <c r="A65" s="6">
        <v>11</v>
      </c>
      <c r="B65" s="6">
        <v>26</v>
      </c>
      <c r="C65" s="18" t="s">
        <v>27</v>
      </c>
      <c r="D65" s="19"/>
      <c r="E65" s="19"/>
      <c r="F65" s="19"/>
      <c r="G65" s="19"/>
      <c r="H65" s="20"/>
      <c r="I65" s="20"/>
      <c r="J65" s="20"/>
      <c r="K65" s="20"/>
      <c r="L65" s="20"/>
      <c r="M65" s="20"/>
      <c r="N65" s="20"/>
      <c r="O65" s="20"/>
      <c r="P65" s="26"/>
      <c r="Q65" s="26"/>
      <c r="R65" s="26"/>
      <c r="S65" s="26"/>
      <c r="T65" s="26"/>
      <c r="U65" s="26"/>
      <c r="V65" s="26"/>
      <c r="W65" s="26"/>
      <c r="X65" s="24">
        <f>SUM(P65:W65)</f>
        <v>0</v>
      </c>
      <c r="Y65" s="24">
        <f>SUM(I65:W65)</f>
        <v>0</v>
      </c>
    </row>
    <row r="66" ht="16.5" customHeight="1" spans="1:25">
      <c r="A66" s="6">
        <v>11</v>
      </c>
      <c r="B66" s="6">
        <v>72</v>
      </c>
      <c r="C66" s="18" t="s">
        <v>28</v>
      </c>
      <c r="D66" s="19"/>
      <c r="E66" s="19"/>
      <c r="F66" s="19"/>
      <c r="G66" s="19"/>
      <c r="H66" s="20"/>
      <c r="I66" s="20"/>
      <c r="J66" s="20"/>
      <c r="K66" s="20"/>
      <c r="L66" s="20"/>
      <c r="M66" s="20"/>
      <c r="N66" s="20"/>
      <c r="O66" s="20"/>
      <c r="P66" s="26"/>
      <c r="Q66" s="26"/>
      <c r="R66" s="26"/>
      <c r="S66" s="26"/>
      <c r="T66" s="26"/>
      <c r="U66" s="26"/>
      <c r="V66" s="26"/>
      <c r="W66" s="26"/>
      <c r="X66" s="24">
        <f>SUM(P66:W66)</f>
        <v>0</v>
      </c>
      <c r="Y66" s="24">
        <f>SUM(I66:W66)</f>
        <v>0</v>
      </c>
    </row>
    <row r="67" ht="16.5" customHeight="1" spans="1:25">
      <c r="A67" s="6">
        <v>11</v>
      </c>
      <c r="B67" s="6">
        <v>35</v>
      </c>
      <c r="C67" s="18" t="s">
        <v>29</v>
      </c>
      <c r="D67" s="19"/>
      <c r="E67" s="19"/>
      <c r="F67" s="19"/>
      <c r="G67" s="19"/>
      <c r="H67" s="20"/>
      <c r="I67" s="20"/>
      <c r="J67" s="20"/>
      <c r="K67" s="20"/>
      <c r="L67" s="20"/>
      <c r="M67" s="20"/>
      <c r="N67" s="20"/>
      <c r="O67" s="20"/>
      <c r="P67" s="26"/>
      <c r="Q67" s="26"/>
      <c r="R67" s="26"/>
      <c r="S67" s="26"/>
      <c r="T67" s="26"/>
      <c r="U67" s="26"/>
      <c r="V67" s="26"/>
      <c r="W67" s="26"/>
      <c r="X67" s="24">
        <f>SUM(P67:W67)</f>
        <v>0</v>
      </c>
      <c r="Y67" s="24">
        <f>SUM(I67:W67)</f>
        <v>0</v>
      </c>
    </row>
    <row r="68" ht="16.5" customHeight="1" spans="1:25">
      <c r="A68" s="6">
        <v>11</v>
      </c>
      <c r="B68" s="6">
        <v>2</v>
      </c>
      <c r="C68" s="18" t="s">
        <v>30</v>
      </c>
      <c r="D68" s="19"/>
      <c r="E68" s="19"/>
      <c r="F68" s="19"/>
      <c r="G68" s="19"/>
      <c r="H68" s="20"/>
      <c r="I68" s="20"/>
      <c r="J68" s="20"/>
      <c r="K68" s="20"/>
      <c r="L68" s="20"/>
      <c r="M68" s="20"/>
      <c r="N68" s="20"/>
      <c r="O68" s="20"/>
      <c r="P68" s="26"/>
      <c r="Q68" s="26"/>
      <c r="R68" s="26"/>
      <c r="S68" s="26"/>
      <c r="T68" s="26"/>
      <c r="U68" s="26"/>
      <c r="V68" s="26"/>
      <c r="W68" s="26"/>
      <c r="X68" s="24"/>
      <c r="Y68" s="24">
        <f>SUM(I68:W68)</f>
        <v>0</v>
      </c>
    </row>
    <row r="69" s="9" customFormat="1" ht="16.5" customHeight="1" spans="1:25">
      <c r="A69" s="21"/>
      <c r="B69" s="6"/>
      <c r="C69" s="5" t="s">
        <v>31</v>
      </c>
      <c r="D69" s="22"/>
      <c r="E69" s="22"/>
      <c r="F69" s="22"/>
      <c r="G69" s="22"/>
      <c r="H69" s="22"/>
      <c r="I69" s="20"/>
      <c r="J69" s="20"/>
      <c r="K69" s="20"/>
      <c r="L69" s="20"/>
      <c r="M69" s="20"/>
      <c r="N69" s="20"/>
      <c r="O69" s="20"/>
      <c r="P69" s="26"/>
      <c r="Q69" s="26"/>
      <c r="R69" s="26"/>
      <c r="S69" s="26"/>
      <c r="T69" s="26"/>
      <c r="U69" s="26"/>
      <c r="V69" s="26"/>
      <c r="W69" s="26"/>
      <c r="X69" s="24">
        <f t="shared" ref="X69:X75" si="2">SUM(P69:W69)</f>
        <v>0</v>
      </c>
      <c r="Y69" s="24">
        <f>SUM(I69:W69)</f>
        <v>0</v>
      </c>
    </row>
    <row r="70" s="9" customFormat="1" ht="16.5" customHeight="1" spans="1:25">
      <c r="A70" s="21"/>
      <c r="B70" s="6"/>
      <c r="C70" s="5" t="s">
        <v>32</v>
      </c>
      <c r="D70" s="22"/>
      <c r="E70" s="22"/>
      <c r="F70" s="22"/>
      <c r="G70" s="22"/>
      <c r="H70" s="23"/>
      <c r="I70" s="20"/>
      <c r="J70" s="20"/>
      <c r="K70" s="20"/>
      <c r="L70" s="20"/>
      <c r="M70" s="20"/>
      <c r="N70" s="20"/>
      <c r="O70" s="20"/>
      <c r="P70" s="26"/>
      <c r="Q70" s="26"/>
      <c r="R70" s="26"/>
      <c r="S70" s="26"/>
      <c r="T70" s="26"/>
      <c r="U70" s="26"/>
      <c r="V70" s="26"/>
      <c r="W70" s="26"/>
      <c r="X70" s="24">
        <f>SUM(P70:W70)</f>
        <v>0</v>
      </c>
      <c r="Y70" s="24">
        <f>SUM(I70:W70)</f>
        <v>0</v>
      </c>
    </row>
    <row r="71" ht="16.5" customHeight="1" spans="1:25">
      <c r="A71" s="6">
        <v>12</v>
      </c>
      <c r="B71" s="6">
        <v>32</v>
      </c>
      <c r="C71" s="18" t="s">
        <v>27</v>
      </c>
      <c r="D71" s="19"/>
      <c r="E71" s="19"/>
      <c r="F71" s="19"/>
      <c r="G71" s="19"/>
      <c r="H71" s="20"/>
      <c r="I71" s="20"/>
      <c r="J71" s="20"/>
      <c r="K71" s="20"/>
      <c r="L71" s="20"/>
      <c r="M71" s="20"/>
      <c r="N71" s="20"/>
      <c r="O71" s="20"/>
      <c r="P71" s="26"/>
      <c r="Q71" s="26"/>
      <c r="R71" s="26"/>
      <c r="S71" s="26"/>
      <c r="T71" s="26"/>
      <c r="U71" s="26"/>
      <c r="V71" s="26"/>
      <c r="W71" s="26"/>
      <c r="X71" s="24">
        <f>SUM(P71:W71)</f>
        <v>0</v>
      </c>
      <c r="Y71" s="24">
        <f>SUM(I71:W71)</f>
        <v>0</v>
      </c>
    </row>
    <row r="72" ht="16.5" customHeight="1" spans="1:25">
      <c r="A72" s="6">
        <v>12</v>
      </c>
      <c r="B72" s="6">
        <v>39</v>
      </c>
      <c r="C72" s="18" t="s">
        <v>28</v>
      </c>
      <c r="D72" s="19"/>
      <c r="E72" s="19"/>
      <c r="F72" s="19"/>
      <c r="G72" s="19"/>
      <c r="H72" s="20"/>
      <c r="I72" s="20"/>
      <c r="J72" s="20"/>
      <c r="K72" s="20"/>
      <c r="L72" s="20"/>
      <c r="M72" s="20"/>
      <c r="N72" s="20"/>
      <c r="O72" s="20"/>
      <c r="P72" s="26"/>
      <c r="Q72" s="26"/>
      <c r="R72" s="26"/>
      <c r="S72" s="26"/>
      <c r="T72" s="26"/>
      <c r="U72" s="26"/>
      <c r="V72" s="26"/>
      <c r="W72" s="26"/>
      <c r="X72" s="24">
        <f>SUM(P72:W72)</f>
        <v>0</v>
      </c>
      <c r="Y72" s="24">
        <f>SUM(I72:W72)</f>
        <v>0</v>
      </c>
    </row>
    <row r="73" ht="16.5" customHeight="1" spans="1:25">
      <c r="A73" s="6">
        <v>12</v>
      </c>
      <c r="B73" s="6">
        <v>88</v>
      </c>
      <c r="C73" s="18" t="s">
        <v>29</v>
      </c>
      <c r="D73" s="19"/>
      <c r="E73" s="19"/>
      <c r="F73" s="19"/>
      <c r="G73" s="19"/>
      <c r="H73" s="20"/>
      <c r="I73" s="20"/>
      <c r="J73" s="20"/>
      <c r="K73" s="20"/>
      <c r="L73" s="20"/>
      <c r="M73" s="20"/>
      <c r="N73" s="20"/>
      <c r="O73" s="20"/>
      <c r="P73" s="26"/>
      <c r="Q73" s="26"/>
      <c r="R73" s="26"/>
      <c r="S73" s="26"/>
      <c r="T73" s="26"/>
      <c r="U73" s="26"/>
      <c r="V73" s="26"/>
      <c r="W73" s="26"/>
      <c r="X73" s="24">
        <f>SUM(P73:W73)</f>
        <v>0</v>
      </c>
      <c r="Y73" s="24">
        <f>SUM(I73:W73)</f>
        <v>0</v>
      </c>
    </row>
    <row r="74" ht="16.5" customHeight="1" spans="1:25">
      <c r="A74" s="6">
        <v>12</v>
      </c>
      <c r="B74" s="6">
        <v>59</v>
      </c>
      <c r="C74" s="18" t="s">
        <v>30</v>
      </c>
      <c r="D74" s="19"/>
      <c r="E74" s="19"/>
      <c r="F74" s="19"/>
      <c r="G74" s="19"/>
      <c r="H74" s="20"/>
      <c r="I74" s="20"/>
      <c r="J74" s="20"/>
      <c r="K74" s="20"/>
      <c r="L74" s="20"/>
      <c r="M74" s="20"/>
      <c r="N74" s="20"/>
      <c r="O74" s="20"/>
      <c r="P74" s="26"/>
      <c r="Q74" s="26"/>
      <c r="R74" s="26"/>
      <c r="S74" s="26"/>
      <c r="T74" s="26"/>
      <c r="U74" s="26"/>
      <c r="V74" s="26"/>
      <c r="W74" s="26"/>
      <c r="X74" s="24">
        <f>SUM(P74:W74)</f>
        <v>0</v>
      </c>
      <c r="Y74" s="24">
        <f>SUM(I74:W74)</f>
        <v>0</v>
      </c>
    </row>
    <row r="75" ht="16.5" customHeight="1" spans="1:25">
      <c r="A75" s="6"/>
      <c r="B75" s="6"/>
      <c r="C75" s="5" t="s">
        <v>31</v>
      </c>
      <c r="D75" s="22">
        <f t="shared" ref="D75:H75" si="3">SUM(D71:D74)</f>
        <v>0</v>
      </c>
      <c r="E75" s="22">
        <f>SUM(E71:E74)</f>
        <v>0</v>
      </c>
      <c r="F75" s="22">
        <f>SUM(F71:F74)</f>
        <v>0</v>
      </c>
      <c r="G75" s="22">
        <f>SUM(G71:G74)</f>
        <v>0</v>
      </c>
      <c r="H75" s="22">
        <f>SUM(H71:H74)</f>
        <v>0</v>
      </c>
      <c r="I75" s="20"/>
      <c r="J75" s="20"/>
      <c r="K75" s="20"/>
      <c r="L75" s="20"/>
      <c r="M75" s="20"/>
      <c r="N75" s="20"/>
      <c r="O75" s="20"/>
      <c r="P75" s="26"/>
      <c r="Q75" s="26"/>
      <c r="R75" s="26"/>
      <c r="S75" s="26"/>
      <c r="T75" s="26"/>
      <c r="U75" s="26"/>
      <c r="V75" s="26"/>
      <c r="W75" s="26"/>
      <c r="X75" s="24">
        <f>SUM(P75:W75)</f>
        <v>0</v>
      </c>
      <c r="Y75" s="24">
        <f>SUM(I75:W75)</f>
        <v>0</v>
      </c>
    </row>
    <row r="76" ht="16.5" customHeight="1" spans="1:25">
      <c r="A76" s="6"/>
      <c r="B76" s="6"/>
      <c r="C76" s="22" t="s">
        <v>32</v>
      </c>
      <c r="D76" s="22">
        <f t="shared" ref="D76:H76" si="4">D70+D75</f>
        <v>0</v>
      </c>
      <c r="E76" s="22">
        <f>E70+E75</f>
        <v>0</v>
      </c>
      <c r="F76" s="22">
        <f>F70+F75</f>
        <v>0</v>
      </c>
      <c r="G76" s="22">
        <f>G70+G75</f>
        <v>0</v>
      </c>
      <c r="H76" s="22">
        <f>H70+H75</f>
        <v>0</v>
      </c>
      <c r="I76" s="48">
        <f>H76*0.061</f>
        <v>0</v>
      </c>
      <c r="J76" s="48">
        <f>H76*0.0646</f>
        <v>0</v>
      </c>
      <c r="K76" s="48">
        <f>H76*0.0878</f>
        <v>0</v>
      </c>
      <c r="L76" s="48">
        <f>H76*0.0976</f>
        <v>0</v>
      </c>
      <c r="M76" s="48">
        <f>H76*0.0842</f>
        <v>0</v>
      </c>
      <c r="N76" s="48">
        <f>H76*0.0421</f>
        <v>0</v>
      </c>
      <c r="O76" s="48">
        <f>H76*0.05022</f>
        <v>0</v>
      </c>
      <c r="P76" s="23">
        <f>H76*0.05113</f>
        <v>0</v>
      </c>
      <c r="Q76" s="23">
        <f>H76*0.0478</f>
        <v>0</v>
      </c>
      <c r="R76" s="23">
        <f>H76*0.0679</f>
        <v>0</v>
      </c>
      <c r="S76" s="23">
        <f>H76*0.08098</f>
        <v>0</v>
      </c>
      <c r="T76" s="23">
        <f>H76*0.08332</f>
        <v>0</v>
      </c>
      <c r="U76" s="23">
        <f>H76*0.05221</f>
        <v>0</v>
      </c>
      <c r="V76" s="23">
        <f>H76*0.04876</f>
        <v>0</v>
      </c>
      <c r="W76" s="23">
        <f>H76-I76-J76-K76-L76-M76-N76-O76-P76-Q76-R76-S76-T76-U76-V76</f>
        <v>0</v>
      </c>
      <c r="X76" s="23">
        <f>SUM(X4:X75)</f>
        <v>0</v>
      </c>
      <c r="Y76" s="73">
        <f>SUM(I76:W76)</f>
        <v>0</v>
      </c>
    </row>
    <row r="77" hidden="1" spans="1:25">
      <c r="A77" s="33"/>
      <c r="B77" s="33"/>
      <c r="C77" s="34"/>
      <c r="D77" s="59"/>
      <c r="E77" s="59"/>
      <c r="F77" s="59"/>
      <c r="G77" s="59"/>
      <c r="H77" s="33"/>
      <c r="I77" s="37">
        <f>SUBTOTAL(9,I5:I74)</f>
        <v>0</v>
      </c>
      <c r="J77" s="37">
        <f t="shared" ref="J77:Y77" si="5">SUBTOTAL(9,J5:J74)</f>
        <v>0</v>
      </c>
      <c r="K77" s="37">
        <f>SUBTOTAL(9,K5:K74)</f>
        <v>0</v>
      </c>
      <c r="L77" s="37">
        <f>SUBTOTAL(9,L5:L74)</f>
        <v>0</v>
      </c>
      <c r="M77" s="37">
        <f>SUBTOTAL(9,M5:M74)</f>
        <v>0</v>
      </c>
      <c r="N77" s="37">
        <f>SUBTOTAL(9,N5:N74)</f>
        <v>0</v>
      </c>
      <c r="O77" s="37">
        <f>SUBTOTAL(9,O5:O74)</f>
        <v>0</v>
      </c>
      <c r="P77" s="37">
        <f>SUBTOTAL(9,P5:P74)</f>
        <v>0</v>
      </c>
      <c r="Q77" s="37">
        <f>SUBTOTAL(9,Q5:Q74)</f>
        <v>0</v>
      </c>
      <c r="R77" s="37">
        <f>SUBTOTAL(9,R5:R74)</f>
        <v>0</v>
      </c>
      <c r="S77" s="37">
        <f>SUBTOTAL(9,S5:S74)</f>
        <v>0</v>
      </c>
      <c r="T77" s="37">
        <f>SUBTOTAL(9,T5:T74)</f>
        <v>0</v>
      </c>
      <c r="U77" s="37">
        <f>SUBTOTAL(9,U5:U74)</f>
        <v>0</v>
      </c>
      <c r="V77" s="37">
        <f>SUBTOTAL(9,V5:V74)</f>
        <v>0</v>
      </c>
      <c r="W77" s="37">
        <f>SUBTOTAL(9,W5:W74)</f>
        <v>0</v>
      </c>
      <c r="X77" s="37">
        <f>SUBTOTAL(9,X5:X74)</f>
        <v>0</v>
      </c>
      <c r="Y77" s="37">
        <f>SUBTOTAL(9,Y5:Y74)</f>
        <v>0</v>
      </c>
    </row>
    <row r="78" hidden="1" spans="1:25">
      <c r="A78" s="33"/>
      <c r="B78" s="33"/>
      <c r="C78" s="34"/>
      <c r="D78" s="59"/>
      <c r="E78" s="59"/>
      <c r="F78" s="59"/>
      <c r="G78" s="59"/>
      <c r="H78" s="36"/>
      <c r="I78" s="37">
        <f>ROUND(I77,2)</f>
        <v>0</v>
      </c>
      <c r="J78" s="37">
        <f t="shared" ref="J78:Y78" si="6">ROUND(J77,2)</f>
        <v>0</v>
      </c>
      <c r="K78" s="37">
        <f>ROUND(K77,2)</f>
        <v>0</v>
      </c>
      <c r="L78" s="37">
        <f>ROUND(L77,2)</f>
        <v>0</v>
      </c>
      <c r="M78" s="37">
        <f>ROUND(M77,2)</f>
        <v>0</v>
      </c>
      <c r="N78" s="37">
        <f>ROUND(N77,2)</f>
        <v>0</v>
      </c>
      <c r="O78" s="37">
        <f>ROUND(O77,2)</f>
        <v>0</v>
      </c>
      <c r="P78" s="37">
        <f>ROUND(P77,2)</f>
        <v>0</v>
      </c>
      <c r="Q78" s="37">
        <f>ROUND(Q77,2)</f>
        <v>0</v>
      </c>
      <c r="R78" s="37">
        <f>ROUND(R77,2)</f>
        <v>0</v>
      </c>
      <c r="S78" s="37">
        <f>ROUND(S77,2)</f>
        <v>0</v>
      </c>
      <c r="T78" s="37">
        <f>ROUND(T77,2)</f>
        <v>0</v>
      </c>
      <c r="U78" s="37">
        <f>ROUND(U77,2)</f>
        <v>0</v>
      </c>
      <c r="V78" s="37">
        <f>ROUND(V77,2)</f>
        <v>0</v>
      </c>
      <c r="W78" s="37">
        <f>ROUND(W77,2)</f>
        <v>0</v>
      </c>
      <c r="X78" s="37">
        <f>ROUND(X77,2)</f>
        <v>0</v>
      </c>
      <c r="Y78" s="37">
        <f>ROUND(Y77,2)</f>
        <v>0</v>
      </c>
    </row>
    <row r="79" hidden="1" spans="1:25">
      <c r="A79" s="33"/>
      <c r="B79" s="33"/>
      <c r="C79" s="34"/>
      <c r="D79" s="59"/>
      <c r="E79" s="59"/>
      <c r="F79" s="59"/>
      <c r="G79" s="59"/>
      <c r="H79" s="37"/>
      <c r="I79" s="37"/>
      <c r="J79" s="37"/>
      <c r="K79" s="37"/>
      <c r="L79" s="37"/>
      <c r="M79" s="37"/>
      <c r="N79" s="37"/>
      <c r="O79" s="37"/>
      <c r="P79" s="45"/>
      <c r="Q79" s="45"/>
      <c r="R79" s="45"/>
      <c r="S79" s="45"/>
      <c r="T79" s="45"/>
      <c r="U79" s="45"/>
      <c r="V79" s="45"/>
      <c r="W79" s="45"/>
      <c r="X79" s="37"/>
      <c r="Y79" s="37"/>
    </row>
    <row r="80" hidden="1" spans="1:25">
      <c r="A80" s="33"/>
      <c r="B80" s="33"/>
      <c r="C80" s="34"/>
      <c r="D80" s="59"/>
      <c r="E80" s="59"/>
      <c r="F80" s="59"/>
      <c r="G80" s="59"/>
      <c r="H80" s="36"/>
      <c r="I80" s="37"/>
      <c r="J80" s="37"/>
      <c r="K80" s="37"/>
      <c r="L80" s="37"/>
      <c r="M80" s="37"/>
      <c r="N80" s="37"/>
      <c r="O80" s="37"/>
      <c r="P80" s="45">
        <f t="shared" ref="P80:X80" si="7">SUBTOTAL(9,P5:P74)</f>
        <v>0</v>
      </c>
      <c r="Q80" s="45">
        <f>SUBTOTAL(9,Q5:Q74)</f>
        <v>0</v>
      </c>
      <c r="R80" s="45">
        <f>SUBTOTAL(9,R5:R74)</f>
        <v>0</v>
      </c>
      <c r="S80" s="45">
        <f>SUBTOTAL(9,S5:S74)</f>
        <v>0</v>
      </c>
      <c r="T80" s="45">
        <f>SUBTOTAL(9,T5:T74)</f>
        <v>0</v>
      </c>
      <c r="U80" s="45">
        <f>SUBTOTAL(9,U5:U74)</f>
        <v>0</v>
      </c>
      <c r="V80" s="45">
        <f>SUBTOTAL(9,V5:V74)</f>
        <v>0</v>
      </c>
      <c r="W80" s="45">
        <f>SUBTOTAL(9,W5:W74)</f>
        <v>0</v>
      </c>
      <c r="X80" s="45">
        <f>SUBTOTAL(9,X5:X74)</f>
        <v>0</v>
      </c>
      <c r="Y80" s="45"/>
    </row>
    <row r="81" hidden="1" spans="1:25">
      <c r="A81" s="33"/>
      <c r="B81" s="33"/>
      <c r="C81" s="34"/>
      <c r="D81" s="59"/>
      <c r="E81" s="59"/>
      <c r="F81" s="59"/>
      <c r="G81" s="59"/>
      <c r="H81" s="36"/>
      <c r="I81" s="37"/>
      <c r="J81" s="37"/>
      <c r="K81" s="37"/>
      <c r="L81" s="37"/>
      <c r="M81" s="37"/>
      <c r="N81" s="37"/>
      <c r="O81" s="37"/>
      <c r="P81" s="45"/>
      <c r="Q81" s="45"/>
      <c r="R81" s="45"/>
      <c r="S81" s="45"/>
      <c r="T81" s="45"/>
      <c r="U81" s="45"/>
      <c r="V81" s="45"/>
      <c r="W81" s="45"/>
      <c r="X81" s="37"/>
      <c r="Y81" s="37"/>
    </row>
    <row r="82" spans="1:25">
      <c r="A82" s="33"/>
      <c r="B82" s="33"/>
      <c r="C82" s="34"/>
      <c r="D82" s="59"/>
      <c r="E82" s="59"/>
      <c r="F82" s="59"/>
      <c r="G82" s="59"/>
      <c r="H82" s="37"/>
      <c r="I82" s="37"/>
      <c r="J82" s="37"/>
      <c r="K82" s="37"/>
      <c r="L82" s="37"/>
      <c r="M82" s="37"/>
      <c r="N82" s="37"/>
      <c r="O82" s="37"/>
      <c r="P82" s="45"/>
      <c r="Q82" s="45"/>
      <c r="R82" s="45"/>
      <c r="S82" s="45"/>
      <c r="T82" s="45"/>
      <c r="U82" s="45"/>
      <c r="V82" s="45"/>
      <c r="W82" s="45"/>
      <c r="X82" s="37"/>
      <c r="Y82" s="37"/>
    </row>
    <row r="83" s="51" customFormat="1" ht="20.25" spans="1:25">
      <c r="A83" s="60"/>
      <c r="B83" s="60"/>
      <c r="C83" s="61"/>
      <c r="D83" s="62"/>
      <c r="E83" s="62"/>
      <c r="F83" s="62"/>
      <c r="G83" s="62"/>
      <c r="H83" s="63" t="s">
        <v>22</v>
      </c>
      <c r="I83" s="65"/>
      <c r="J83" s="65"/>
      <c r="K83" s="65"/>
      <c r="L83" s="65"/>
      <c r="M83" s="65"/>
      <c r="N83" s="65"/>
      <c r="O83" s="65"/>
      <c r="P83" s="66"/>
      <c r="Q83" s="66"/>
      <c r="R83" s="66"/>
      <c r="S83" s="66"/>
      <c r="T83" s="66"/>
      <c r="U83" s="66"/>
      <c r="V83" s="66"/>
      <c r="W83" s="66"/>
      <c r="X83" s="72"/>
      <c r="Y83" s="67"/>
    </row>
    <row r="84" s="51" customFormat="1" ht="20.25" spans="1:25">
      <c r="A84" s="60"/>
      <c r="B84" s="60"/>
      <c r="C84" s="61"/>
      <c r="D84" s="62"/>
      <c r="E84" s="62"/>
      <c r="F84" s="62"/>
      <c r="G84" s="62"/>
      <c r="H84" s="63" t="s">
        <v>23</v>
      </c>
      <c r="I84" s="67"/>
      <c r="J84" s="67"/>
      <c r="K84" s="67"/>
      <c r="L84" s="67"/>
      <c r="M84" s="67"/>
      <c r="N84" s="67"/>
      <c r="O84" s="67"/>
      <c r="P84" s="66"/>
      <c r="Q84" s="66"/>
      <c r="R84" s="66"/>
      <c r="S84" s="66"/>
      <c r="T84" s="66"/>
      <c r="U84" s="66"/>
      <c r="V84" s="66"/>
      <c r="W84" s="66"/>
      <c r="X84" s="72"/>
      <c r="Y84" s="67"/>
    </row>
    <row r="85" s="51" customFormat="1" ht="20.25" spans="1:25">
      <c r="A85" s="60"/>
      <c r="B85" s="60"/>
      <c r="C85" s="61"/>
      <c r="D85" s="62"/>
      <c r="E85" s="62"/>
      <c r="F85" s="62"/>
      <c r="G85" s="62"/>
      <c r="H85" s="63" t="s">
        <v>33</v>
      </c>
      <c r="I85" s="67"/>
      <c r="J85" s="67"/>
      <c r="K85" s="67"/>
      <c r="L85" s="67"/>
      <c r="M85" s="67"/>
      <c r="N85" s="67"/>
      <c r="O85" s="67"/>
      <c r="P85" s="66"/>
      <c r="Q85" s="66"/>
      <c r="R85" s="66"/>
      <c r="S85" s="66"/>
      <c r="T85" s="66"/>
      <c r="U85" s="66"/>
      <c r="V85" s="66"/>
      <c r="W85" s="66"/>
      <c r="X85" s="72"/>
      <c r="Y85" s="67"/>
    </row>
    <row r="86" s="51" customFormat="1" ht="20.25" spans="1:25">
      <c r="A86" s="60"/>
      <c r="B86" s="60"/>
      <c r="C86" s="61"/>
      <c r="D86" s="62"/>
      <c r="E86" s="62"/>
      <c r="F86" s="62"/>
      <c r="G86" s="62"/>
      <c r="H86" s="63" t="s">
        <v>34</v>
      </c>
      <c r="I86" s="68"/>
      <c r="J86" s="68"/>
      <c r="K86" s="68"/>
      <c r="L86" s="68"/>
      <c r="M86" s="68"/>
      <c r="N86" s="68"/>
      <c r="O86" s="68"/>
      <c r="P86" s="66"/>
      <c r="Q86" s="66"/>
      <c r="R86" s="66"/>
      <c r="S86" s="66"/>
      <c r="T86" s="66"/>
      <c r="U86" s="66"/>
      <c r="V86" s="66"/>
      <c r="W86" s="66"/>
      <c r="X86" s="72"/>
      <c r="Y86" s="67"/>
    </row>
    <row r="87" s="51" customFormat="1" ht="20.25" spans="1:25">
      <c r="A87" s="60"/>
      <c r="B87" s="60"/>
      <c r="C87" s="61"/>
      <c r="D87" s="62"/>
      <c r="E87" s="62"/>
      <c r="F87" s="62"/>
      <c r="G87" s="62"/>
      <c r="H87" s="63" t="s">
        <v>2</v>
      </c>
      <c r="I87" s="69"/>
      <c r="J87" s="69"/>
      <c r="K87" s="69"/>
      <c r="L87" s="69"/>
      <c r="M87" s="69"/>
      <c r="N87" s="69"/>
      <c r="O87" s="69"/>
      <c r="P87" s="69"/>
      <c r="Q87" s="69"/>
      <c r="R87" s="69"/>
      <c r="S87" s="69"/>
      <c r="T87" s="69"/>
      <c r="U87" s="69"/>
      <c r="V87" s="69"/>
      <c r="W87" s="69"/>
      <c r="X87" s="69"/>
      <c r="Y87" s="69"/>
    </row>
    <row r="88" s="51" customFormat="1" ht="20.25" spans="1:25">
      <c r="A88" s="60"/>
      <c r="B88" s="60"/>
      <c r="C88" s="61"/>
      <c r="D88" s="62"/>
      <c r="E88" s="62"/>
      <c r="F88" s="62"/>
      <c r="G88" s="62"/>
      <c r="H88" s="64"/>
      <c r="I88" s="64"/>
      <c r="J88" s="64"/>
      <c r="K88" s="64"/>
      <c r="L88" s="64"/>
      <c r="M88" s="64"/>
      <c r="N88" s="64"/>
      <c r="O88" s="64"/>
      <c r="P88" s="70"/>
      <c r="Q88" s="70"/>
      <c r="R88" s="70"/>
      <c r="S88" s="70"/>
      <c r="T88" s="70"/>
      <c r="U88" s="70"/>
      <c r="V88" s="70"/>
      <c r="W88" s="70"/>
      <c r="X88" s="64"/>
      <c r="Y88" s="72">
        <f>SUM(I88:W88)</f>
        <v>0</v>
      </c>
    </row>
    <row r="89" spans="3:7">
      <c r="C89" s="34"/>
      <c r="D89" s="59"/>
      <c r="E89" s="59"/>
      <c r="F89" s="59"/>
      <c r="G89" s="59"/>
    </row>
    <row r="90" spans="3:7">
      <c r="C90" s="34"/>
      <c r="D90" s="59"/>
      <c r="E90" s="59"/>
      <c r="F90" s="59"/>
      <c r="G90" s="59"/>
    </row>
    <row r="91" spans="3:7">
      <c r="C91" s="34"/>
      <c r="D91" s="38"/>
      <c r="E91" s="38"/>
      <c r="F91" s="38"/>
      <c r="G91" s="38"/>
    </row>
    <row r="92" spans="3:15">
      <c r="C92" s="34"/>
      <c r="D92" s="38"/>
      <c r="E92" s="38"/>
      <c r="F92" s="38"/>
      <c r="G92" s="38"/>
      <c r="H92" s="42"/>
      <c r="I92" s="42"/>
      <c r="J92" s="42"/>
      <c r="K92" s="42"/>
      <c r="L92" s="42"/>
      <c r="M92" s="42"/>
      <c r="N92" s="42"/>
      <c r="O92" s="42"/>
    </row>
    <row r="93" spans="3:10">
      <c r="C93" s="34"/>
      <c r="D93" s="38"/>
      <c r="E93" s="38"/>
      <c r="F93" s="38"/>
      <c r="G93" s="38"/>
      <c r="J93" s="71"/>
    </row>
    <row r="94" spans="3:10">
      <c r="C94" s="34"/>
      <c r="D94" s="38"/>
      <c r="E94" s="38"/>
      <c r="F94" s="38"/>
      <c r="G94" s="38"/>
      <c r="J94" s="71"/>
    </row>
    <row r="95" spans="3:10">
      <c r="C95" s="34"/>
      <c r="D95" s="38"/>
      <c r="E95" s="38"/>
      <c r="F95" s="38"/>
      <c r="G95" s="38"/>
      <c r="J95" s="71"/>
    </row>
    <row r="96" spans="10:10">
      <c r="J96" s="71"/>
    </row>
    <row r="97" spans="10:10">
      <c r="J97" s="71"/>
    </row>
    <row r="98" spans="4:10">
      <c r="D98" s="43"/>
      <c r="E98" s="43"/>
      <c r="F98" s="43"/>
      <c r="G98" s="43"/>
      <c r="J98" s="71"/>
    </row>
    <row r="99" spans="4:10">
      <c r="D99" s="43"/>
      <c r="E99" s="43"/>
      <c r="F99" s="43"/>
      <c r="G99" s="38"/>
      <c r="J99" s="71"/>
    </row>
    <row r="100" spans="4:10">
      <c r="D100" s="43"/>
      <c r="E100" s="43"/>
      <c r="F100" s="43"/>
      <c r="G100" s="38"/>
      <c r="I100" s="13"/>
      <c r="J100" s="71"/>
    </row>
    <row r="101" spans="4:10">
      <c r="D101" s="43"/>
      <c r="E101" s="43"/>
      <c r="F101" s="43"/>
      <c r="G101" s="38"/>
      <c r="I101" s="13"/>
      <c r="J101" s="71"/>
    </row>
    <row r="102" spans="4:10">
      <c r="D102" s="43"/>
      <c r="E102" s="43"/>
      <c r="F102" s="43"/>
      <c r="G102" s="38"/>
      <c r="I102" s="13"/>
      <c r="J102" s="71"/>
    </row>
    <row r="103" spans="4:10">
      <c r="D103" s="43"/>
      <c r="E103" s="43"/>
      <c r="F103" s="43"/>
      <c r="G103" s="38"/>
      <c r="I103" s="13"/>
      <c r="J103" s="71"/>
    </row>
    <row r="104" spans="4:10">
      <c r="D104" s="43"/>
      <c r="E104" s="43"/>
      <c r="F104" s="43"/>
      <c r="G104" s="43"/>
      <c r="I104" s="13"/>
      <c r="J104" s="71"/>
    </row>
    <row r="105" spans="4:10">
      <c r="D105" s="43"/>
      <c r="E105" s="43"/>
      <c r="F105" s="43"/>
      <c r="G105" s="43"/>
      <c r="I105" s="13"/>
      <c r="J105" s="71"/>
    </row>
    <row r="106" spans="4:10">
      <c r="D106" s="43"/>
      <c r="E106" s="43"/>
      <c r="F106" s="43"/>
      <c r="G106" s="43"/>
      <c r="I106" s="13"/>
      <c r="J106" s="71"/>
    </row>
    <row r="107" spans="4:10">
      <c r="D107" s="43"/>
      <c r="E107" s="43"/>
      <c r="F107" s="43"/>
      <c r="G107" s="43"/>
      <c r="I107" s="13"/>
      <c r="J107" s="71"/>
    </row>
    <row r="108" spans="4:10">
      <c r="D108" s="43"/>
      <c r="E108" s="43"/>
      <c r="F108" s="43"/>
      <c r="G108" s="43"/>
      <c r="J108" s="71"/>
    </row>
    <row r="109" spans="4:10">
      <c r="D109" s="43"/>
      <c r="E109" s="43"/>
      <c r="F109" s="43"/>
      <c r="G109" s="43"/>
      <c r="J109" s="71"/>
    </row>
    <row r="110" spans="4:7">
      <c r="D110" s="43"/>
      <c r="E110" s="43"/>
      <c r="F110" s="43"/>
      <c r="G110" s="43"/>
    </row>
    <row r="116" spans="7:7">
      <c r="G116" s="38"/>
    </row>
    <row r="117" spans="7:7">
      <c r="G117" s="38"/>
    </row>
    <row r="118" spans="7:7">
      <c r="G118" s="38"/>
    </row>
    <row r="119" spans="7:7">
      <c r="G119" s="38"/>
    </row>
    <row r="120" spans="7:7">
      <c r="G120" s="38"/>
    </row>
    <row r="121" spans="7:25">
      <c r="G121" s="38"/>
      <c r="I121" s="71"/>
      <c r="J121" s="71"/>
      <c r="K121" s="71"/>
      <c r="L121" s="71"/>
      <c r="M121" s="71"/>
      <c r="N121" s="71"/>
      <c r="O121" s="71"/>
      <c r="P121" s="71"/>
      <c r="Q121" s="71"/>
      <c r="R121" s="71"/>
      <c r="S121" s="71"/>
      <c r="T121" s="71"/>
      <c r="U121" s="71"/>
      <c r="V121" s="71"/>
      <c r="W121" s="71"/>
      <c r="X121" s="71"/>
      <c r="Y121" s="71"/>
    </row>
    <row r="122" spans="7:25">
      <c r="G122" s="38"/>
      <c r="I122" s="71"/>
      <c r="J122" s="71"/>
      <c r="K122" s="71"/>
      <c r="L122" s="71"/>
      <c r="M122" s="71"/>
      <c r="N122" s="71"/>
      <c r="O122" s="71"/>
      <c r="P122" s="71"/>
      <c r="Q122" s="71"/>
      <c r="R122" s="71"/>
      <c r="S122" s="71"/>
      <c r="T122" s="71"/>
      <c r="U122" s="71"/>
      <c r="V122" s="71"/>
      <c r="W122" s="71"/>
      <c r="X122" s="71"/>
      <c r="Y122" s="71"/>
    </row>
    <row r="123" spans="7:25">
      <c r="G123" s="38"/>
      <c r="I123" s="71"/>
      <c r="J123" s="71"/>
      <c r="K123" s="71"/>
      <c r="L123" s="71"/>
      <c r="M123" s="71"/>
      <c r="N123" s="71"/>
      <c r="O123" s="71"/>
      <c r="P123" s="71"/>
      <c r="Q123" s="71"/>
      <c r="R123" s="71"/>
      <c r="S123" s="71"/>
      <c r="T123" s="71"/>
      <c r="U123" s="71"/>
      <c r="V123" s="71"/>
      <c r="W123" s="71"/>
      <c r="X123" s="71"/>
      <c r="Y123" s="71"/>
    </row>
    <row r="124" spans="7:25">
      <c r="G124" s="38"/>
      <c r="I124" s="71"/>
      <c r="J124" s="71"/>
      <c r="K124" s="71"/>
      <c r="L124" s="71"/>
      <c r="M124" s="71"/>
      <c r="N124" s="71"/>
      <c r="O124" s="71"/>
      <c r="P124" s="71"/>
      <c r="Q124" s="71"/>
      <c r="R124" s="71"/>
      <c r="S124" s="71"/>
      <c r="T124" s="71"/>
      <c r="U124" s="71"/>
      <c r="V124" s="71"/>
      <c r="W124" s="71"/>
      <c r="X124" s="71"/>
      <c r="Y124" s="71"/>
    </row>
    <row r="125" spans="7:25">
      <c r="G125" s="38"/>
      <c r="I125" s="71"/>
      <c r="J125" s="71"/>
      <c r="K125" s="71"/>
      <c r="L125" s="71"/>
      <c r="M125" s="71"/>
      <c r="N125" s="71"/>
      <c r="O125" s="71"/>
      <c r="P125" s="71"/>
      <c r="Q125" s="71"/>
      <c r="R125" s="71"/>
      <c r="S125" s="71"/>
      <c r="T125" s="71"/>
      <c r="U125" s="71"/>
      <c r="V125" s="71"/>
      <c r="W125" s="71"/>
      <c r="X125" s="71"/>
      <c r="Y125" s="71"/>
    </row>
    <row r="126" spans="7:7">
      <c r="G126" s="38"/>
    </row>
    <row r="127" spans="7:7">
      <c r="G127" s="38"/>
    </row>
    <row r="128" spans="7:7">
      <c r="G128" s="38"/>
    </row>
  </sheetData>
  <mergeCells count="27">
    <mergeCell ref="A1:H1"/>
    <mergeCell ref="D2:H2"/>
    <mergeCell ref="A2:A3"/>
    <mergeCell ref="B2:B4"/>
    <mergeCell ref="C2:C4"/>
    <mergeCell ref="D3:D4"/>
    <mergeCell ref="E3:E4"/>
    <mergeCell ref="F3:F4"/>
    <mergeCell ref="G3:G4"/>
    <mergeCell ref="H3: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1:Y4"/>
  </mergeCells>
  <printOptions horizontalCentered="1"/>
  <pageMargins left="0.196527777777778" right="0.196527777777778" top="0.196527777777778" bottom="0.511805555555556" header="0.196527777777778" footer="0.354166666666667"/>
  <pageSetup paperSize="9" scale="8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1:Z128"/>
  <sheetViews>
    <sheetView zoomScale="70" zoomScaleNormal="70" workbookViewId="0">
      <pane xSplit="7" ySplit="4" topLeftCell="H5" activePane="bottomRight" state="frozen"/>
      <selection/>
      <selection pane="topRight"/>
      <selection pane="bottomLeft"/>
      <selection pane="bottomRight" activeCell="O10" sqref="O10"/>
    </sheetView>
  </sheetViews>
  <sheetFormatPr defaultColWidth="9" defaultRowHeight="13.5"/>
  <cols>
    <col min="1" max="1" width="8.25" style="11" customWidth="1"/>
    <col min="2" max="2" width="11.125" style="11" customWidth="1"/>
    <col min="3" max="3" width="33.375" style="12" customWidth="1"/>
    <col min="4" max="7" width="17.375" style="11" hidden="1" customWidth="1"/>
    <col min="8" max="18" width="19.875" style="11" customWidth="1"/>
    <col min="19" max="19" width="17.75" style="13" customWidth="1"/>
    <col min="20" max="20" width="19.75" style="11" hidden="1" customWidth="1"/>
    <col min="21" max="21" width="19.75" style="11" customWidth="1"/>
    <col min="22" max="26" width="10.125" style="11" customWidth="1"/>
    <col min="27" max="16375" width="9" style="14"/>
  </cols>
  <sheetData>
    <row r="1" s="14" customFormat="1" ht="36.75" customHeight="1" spans="1:26">
      <c r="A1" s="15" t="s">
        <v>35</v>
      </c>
      <c r="B1" s="15"/>
      <c r="C1" s="15"/>
      <c r="D1" s="15"/>
      <c r="E1" s="15"/>
      <c r="F1" s="15"/>
      <c r="G1" s="15"/>
      <c r="H1" s="15"/>
      <c r="I1" s="47" t="s">
        <v>36</v>
      </c>
      <c r="J1" s="47" t="s">
        <v>36</v>
      </c>
      <c r="K1" s="47" t="s">
        <v>37</v>
      </c>
      <c r="L1" s="47" t="s">
        <v>38</v>
      </c>
      <c r="M1" s="47" t="s">
        <v>39</v>
      </c>
      <c r="N1" s="47" t="s">
        <v>40</v>
      </c>
      <c r="O1" s="47" t="s">
        <v>41</v>
      </c>
      <c r="P1" s="47" t="s">
        <v>41</v>
      </c>
      <c r="Q1" s="47" t="s">
        <v>42</v>
      </c>
      <c r="R1" s="47" t="s">
        <v>42</v>
      </c>
      <c r="S1" s="17" t="s">
        <v>2</v>
      </c>
      <c r="T1" s="27"/>
      <c r="U1" s="27"/>
      <c r="V1" s="11"/>
      <c r="W1" s="11"/>
      <c r="X1" s="11"/>
      <c r="Y1" s="11"/>
      <c r="Z1" s="11"/>
    </row>
    <row r="2" s="14" customFormat="1" ht="21.95" customHeight="1" spans="1:26">
      <c r="A2" s="16" t="s">
        <v>3</v>
      </c>
      <c r="B2" s="16" t="s">
        <v>4</v>
      </c>
      <c r="C2" s="17" t="s">
        <v>5</v>
      </c>
      <c r="D2" s="16" t="s">
        <v>6</v>
      </c>
      <c r="E2" s="16"/>
      <c r="F2" s="16"/>
      <c r="G2" s="16"/>
      <c r="H2" s="16"/>
      <c r="I2" s="17" t="s">
        <v>43</v>
      </c>
      <c r="J2" s="17" t="s">
        <v>44</v>
      </c>
      <c r="K2" s="17" t="s">
        <v>45</v>
      </c>
      <c r="L2" s="17" t="s">
        <v>46</v>
      </c>
      <c r="M2" s="17" t="s">
        <v>47</v>
      </c>
      <c r="N2" s="17" t="s">
        <v>48</v>
      </c>
      <c r="O2" s="17" t="s">
        <v>49</v>
      </c>
      <c r="P2" s="17" t="s">
        <v>50</v>
      </c>
      <c r="Q2" s="17" t="s">
        <v>51</v>
      </c>
      <c r="R2" s="17" t="s">
        <v>52</v>
      </c>
      <c r="S2" s="17"/>
      <c r="T2" s="28" t="s">
        <v>2</v>
      </c>
      <c r="U2" s="29"/>
      <c r="V2" s="11"/>
      <c r="W2" s="11"/>
      <c r="X2" s="11"/>
      <c r="Y2" s="11"/>
      <c r="Z2" s="11"/>
    </row>
    <row r="3" s="14" customFormat="1" ht="24" customHeight="1" spans="1:26">
      <c r="A3" s="16"/>
      <c r="B3" s="16"/>
      <c r="C3" s="17"/>
      <c r="D3" s="17" t="s">
        <v>22</v>
      </c>
      <c r="E3" s="16" t="s">
        <v>23</v>
      </c>
      <c r="F3" s="16" t="s">
        <v>24</v>
      </c>
      <c r="G3" s="16" t="s">
        <v>25</v>
      </c>
      <c r="H3" s="16" t="s">
        <v>2</v>
      </c>
      <c r="I3" s="17"/>
      <c r="J3" s="17"/>
      <c r="K3" s="17"/>
      <c r="L3" s="17"/>
      <c r="M3" s="17"/>
      <c r="N3" s="17"/>
      <c r="O3" s="17"/>
      <c r="P3" s="17"/>
      <c r="Q3" s="17"/>
      <c r="R3" s="17"/>
      <c r="S3" s="17"/>
      <c r="T3" s="30"/>
      <c r="U3" s="29"/>
      <c r="V3" s="11"/>
      <c r="W3" s="11"/>
      <c r="X3" s="11"/>
      <c r="Y3" s="11"/>
      <c r="Z3" s="11"/>
    </row>
    <row r="4" s="14" customFormat="1" ht="24" customHeight="1" spans="1:26">
      <c r="A4" s="16" t="s">
        <v>26</v>
      </c>
      <c r="B4" s="16"/>
      <c r="C4" s="17"/>
      <c r="D4" s="17"/>
      <c r="E4" s="16"/>
      <c r="F4" s="16"/>
      <c r="G4" s="16"/>
      <c r="H4" s="16"/>
      <c r="I4" s="17"/>
      <c r="J4" s="17"/>
      <c r="K4" s="17"/>
      <c r="L4" s="17"/>
      <c r="M4" s="17"/>
      <c r="N4" s="17"/>
      <c r="O4" s="17"/>
      <c r="P4" s="17"/>
      <c r="Q4" s="17"/>
      <c r="R4" s="17"/>
      <c r="S4" s="17"/>
      <c r="T4" s="31"/>
      <c r="U4" s="29"/>
      <c r="V4" s="11" t="s">
        <v>53</v>
      </c>
      <c r="W4" s="11" t="s">
        <v>54</v>
      </c>
      <c r="X4" s="11" t="s">
        <v>55</v>
      </c>
      <c r="Y4" s="11" t="s">
        <v>24</v>
      </c>
      <c r="Z4" s="11" t="s">
        <v>25</v>
      </c>
    </row>
    <row r="5" s="14" customFormat="1" ht="16.5" customHeight="1" spans="1:26">
      <c r="A5" s="6">
        <v>1</v>
      </c>
      <c r="B5" s="6">
        <v>34</v>
      </c>
      <c r="C5" s="18" t="s">
        <v>27</v>
      </c>
      <c r="D5" s="19">
        <v>661979.25</v>
      </c>
      <c r="E5" s="19"/>
      <c r="F5" s="19"/>
      <c r="G5" s="19"/>
      <c r="H5" s="20">
        <v>661979.25</v>
      </c>
      <c r="I5" s="20">
        <f t="shared" ref="I5:I8" si="0">H5*0.41</f>
        <v>271411.4925</v>
      </c>
      <c r="J5" s="20">
        <f t="shared" ref="J5:J8" si="1">H5-I5</f>
        <v>390567.7575</v>
      </c>
      <c r="K5" s="20"/>
      <c r="L5" s="20"/>
      <c r="M5" s="20"/>
      <c r="N5" s="20"/>
      <c r="O5" s="20"/>
      <c r="P5" s="26"/>
      <c r="Q5" s="26"/>
      <c r="R5" s="26"/>
      <c r="S5" s="26">
        <f t="shared" ref="S5:S68" si="2">SUM(I5:R5)</f>
        <v>661979.25</v>
      </c>
      <c r="T5" s="24" t="e">
        <f>SUM(#REF!)</f>
        <v>#REF!</v>
      </c>
      <c r="U5" s="32">
        <f>B5+17</f>
        <v>51</v>
      </c>
      <c r="V5" s="11">
        <v>1</v>
      </c>
      <c r="W5" s="11"/>
      <c r="X5" s="11">
        <v>1</v>
      </c>
      <c r="Y5" s="11"/>
      <c r="Z5" s="11"/>
    </row>
    <row r="6" s="14" customFormat="1" ht="16.5" customHeight="1" spans="1:26">
      <c r="A6" s="6">
        <v>1</v>
      </c>
      <c r="B6" s="6">
        <v>83</v>
      </c>
      <c r="C6" s="18" t="s">
        <v>28</v>
      </c>
      <c r="D6" s="19"/>
      <c r="E6" s="19">
        <v>858617.4</v>
      </c>
      <c r="F6" s="19"/>
      <c r="G6" s="19"/>
      <c r="H6" s="20">
        <v>858617.4</v>
      </c>
      <c r="I6" s="20">
        <f>H6*0.41</f>
        <v>352033.134</v>
      </c>
      <c r="J6" s="20">
        <f>H6-I6</f>
        <v>506584.266</v>
      </c>
      <c r="K6" s="20"/>
      <c r="L6" s="20"/>
      <c r="M6" s="20"/>
      <c r="N6" s="20"/>
      <c r="O6" s="20"/>
      <c r="P6" s="26"/>
      <c r="Q6" s="26"/>
      <c r="R6" s="26"/>
      <c r="S6" s="26">
        <f>SUM(I6:R6)</f>
        <v>858617.4</v>
      </c>
      <c r="T6" s="24" t="e">
        <f>SUM(#REF!)</f>
        <v>#REF!</v>
      </c>
      <c r="U6" s="32">
        <f t="shared" ref="U6:U37" si="3">B6+17</f>
        <v>100</v>
      </c>
      <c r="V6" s="11">
        <v>2</v>
      </c>
      <c r="W6" s="11">
        <v>1</v>
      </c>
      <c r="X6" s="11"/>
      <c r="Y6" s="11"/>
      <c r="Z6" s="11"/>
    </row>
    <row r="7" s="14" customFormat="1" ht="16.5" customHeight="1" spans="1:26">
      <c r="A7" s="6">
        <v>1</v>
      </c>
      <c r="B7" s="6">
        <v>79</v>
      </c>
      <c r="C7" s="18" t="s">
        <v>29</v>
      </c>
      <c r="D7" s="19"/>
      <c r="E7" s="19"/>
      <c r="F7" s="19">
        <v>154171.98</v>
      </c>
      <c r="G7" s="19"/>
      <c r="H7" s="20">
        <v>154171.98</v>
      </c>
      <c r="I7" s="20">
        <f>H7*0.41</f>
        <v>63210.5118</v>
      </c>
      <c r="J7" s="20">
        <f>H7-I7</f>
        <v>90961.4682</v>
      </c>
      <c r="K7" s="20"/>
      <c r="L7" s="20"/>
      <c r="M7" s="20"/>
      <c r="N7" s="20"/>
      <c r="O7" s="20"/>
      <c r="P7" s="26"/>
      <c r="Q7" s="26"/>
      <c r="R7" s="26"/>
      <c r="S7" s="26">
        <f>SUM(I7:R7)</f>
        <v>154171.98</v>
      </c>
      <c r="T7" s="24" t="e">
        <f>SUM(#REF!)</f>
        <v>#REF!</v>
      </c>
      <c r="U7" s="32">
        <f>B7+17</f>
        <v>96</v>
      </c>
      <c r="V7" s="11">
        <v>3</v>
      </c>
      <c r="W7" s="11"/>
      <c r="X7" s="11"/>
      <c r="Y7" s="11">
        <v>1</v>
      </c>
      <c r="Z7" s="11"/>
    </row>
    <row r="8" s="14" customFormat="1" ht="16.5" customHeight="1" spans="1:26">
      <c r="A8" s="6">
        <v>1</v>
      </c>
      <c r="B8" s="6">
        <v>96</v>
      </c>
      <c r="C8" s="18" t="s">
        <v>30</v>
      </c>
      <c r="D8" s="19"/>
      <c r="E8" s="19"/>
      <c r="F8" s="19"/>
      <c r="G8" s="19">
        <v>6264.32</v>
      </c>
      <c r="H8" s="20">
        <v>6264.32</v>
      </c>
      <c r="I8" s="20">
        <f>H8*0.41</f>
        <v>2568.3712</v>
      </c>
      <c r="J8" s="20">
        <f>H8-I8</f>
        <v>3695.9488</v>
      </c>
      <c r="K8" s="20"/>
      <c r="L8" s="20"/>
      <c r="M8" s="20"/>
      <c r="N8" s="20"/>
      <c r="O8" s="20"/>
      <c r="P8" s="26"/>
      <c r="Q8" s="26"/>
      <c r="R8" s="26"/>
      <c r="S8" s="26">
        <f>SUM(I8:R8)</f>
        <v>6264.32</v>
      </c>
      <c r="T8" s="24" t="e">
        <f>SUM(#REF!)</f>
        <v>#REF!</v>
      </c>
      <c r="U8" s="32">
        <f>B8+17</f>
        <v>113</v>
      </c>
      <c r="V8" s="11">
        <v>4</v>
      </c>
      <c r="W8" s="11"/>
      <c r="X8" s="11"/>
      <c r="Y8" s="11"/>
      <c r="Z8" s="11">
        <v>1</v>
      </c>
    </row>
    <row r="9" s="9" customFormat="1" ht="16.5" customHeight="1" spans="1:26">
      <c r="A9" s="21"/>
      <c r="B9" s="6"/>
      <c r="C9" s="5" t="s">
        <v>31</v>
      </c>
      <c r="D9" s="22">
        <v>661979.25</v>
      </c>
      <c r="E9" s="22">
        <v>858617.4</v>
      </c>
      <c r="F9" s="22">
        <v>154171.98</v>
      </c>
      <c r="G9" s="22">
        <v>6264.32</v>
      </c>
      <c r="H9" s="23">
        <v>1681032.95</v>
      </c>
      <c r="I9" s="20"/>
      <c r="J9" s="20"/>
      <c r="K9" s="20"/>
      <c r="L9" s="20"/>
      <c r="M9" s="20"/>
      <c r="N9" s="20"/>
      <c r="O9" s="20"/>
      <c r="P9" s="26"/>
      <c r="Q9" s="26"/>
      <c r="R9" s="26"/>
      <c r="S9" s="26"/>
      <c r="T9" s="24" t="e">
        <f>SUM(#REF!)</f>
        <v>#REF!</v>
      </c>
      <c r="U9" s="32">
        <f>B9+17</f>
        <v>17</v>
      </c>
      <c r="V9" s="11">
        <v>5</v>
      </c>
      <c r="W9" s="10"/>
      <c r="X9" s="10"/>
      <c r="Y9" s="10"/>
      <c r="Z9" s="10"/>
    </row>
    <row r="10" s="9" customFormat="1" ht="16.5" customHeight="1" spans="1:26">
      <c r="A10" s="21"/>
      <c r="B10" s="6"/>
      <c r="C10" s="5" t="s">
        <v>32</v>
      </c>
      <c r="D10" s="22">
        <v>661979.25</v>
      </c>
      <c r="E10" s="22">
        <v>858617.4</v>
      </c>
      <c r="F10" s="22">
        <v>154171.98</v>
      </c>
      <c r="G10" s="22">
        <v>6264.32</v>
      </c>
      <c r="H10" s="23">
        <v>1681032.95</v>
      </c>
      <c r="I10" s="20"/>
      <c r="J10" s="20"/>
      <c r="K10" s="20"/>
      <c r="L10" s="20"/>
      <c r="M10" s="20"/>
      <c r="N10" s="20"/>
      <c r="O10" s="20"/>
      <c r="P10" s="26"/>
      <c r="Q10" s="26"/>
      <c r="R10" s="26"/>
      <c r="S10" s="26"/>
      <c r="T10" s="24" t="e">
        <f>SUM(#REF!)</f>
        <v>#REF!</v>
      </c>
      <c r="U10" s="32">
        <f>B10+17</f>
        <v>17</v>
      </c>
      <c r="V10" s="11">
        <v>6</v>
      </c>
      <c r="W10" s="10"/>
      <c r="X10" s="10"/>
      <c r="Y10" s="10"/>
      <c r="Z10" s="10"/>
    </row>
    <row r="11" s="14" customFormat="1" ht="16.5" customHeight="1" spans="1:26">
      <c r="A11" s="6">
        <v>2</v>
      </c>
      <c r="B11" s="6">
        <v>31</v>
      </c>
      <c r="C11" s="18" t="s">
        <v>27</v>
      </c>
      <c r="D11" s="19">
        <v>691787.32</v>
      </c>
      <c r="E11" s="19"/>
      <c r="F11" s="19"/>
      <c r="G11" s="19"/>
      <c r="H11" s="20">
        <v>691787.32</v>
      </c>
      <c r="I11" s="20">
        <f t="shared" ref="I11:I14" si="4">H11*0.301</f>
        <v>208227.98332</v>
      </c>
      <c r="J11" s="20">
        <f t="shared" ref="J11:J14" si="5">H11*0.276</f>
        <v>190933.30032</v>
      </c>
      <c r="K11" s="20">
        <f t="shared" ref="K11:K14" si="6">H11-I11-J11</f>
        <v>292626.03636</v>
      </c>
      <c r="L11" s="20"/>
      <c r="M11" s="20"/>
      <c r="N11" s="20"/>
      <c r="O11" s="20"/>
      <c r="P11" s="26"/>
      <c r="Q11" s="26"/>
      <c r="R11" s="26"/>
      <c r="S11" s="26">
        <f>SUM(I11:R11)</f>
        <v>691787.32</v>
      </c>
      <c r="T11" s="24" t="e">
        <f>SUM(#REF!)</f>
        <v>#REF!</v>
      </c>
      <c r="U11" s="32">
        <f>B11+17</f>
        <v>48</v>
      </c>
      <c r="V11" s="11">
        <v>7</v>
      </c>
      <c r="W11" s="11"/>
      <c r="X11" s="11">
        <v>2</v>
      </c>
      <c r="Y11" s="11"/>
      <c r="Z11" s="11"/>
    </row>
    <row r="12" s="14" customFormat="1" ht="16.5" customHeight="1" spans="1:26">
      <c r="A12" s="6">
        <v>2</v>
      </c>
      <c r="B12" s="6">
        <v>50</v>
      </c>
      <c r="C12" s="18" t="s">
        <v>28</v>
      </c>
      <c r="D12" s="19"/>
      <c r="E12" s="19">
        <v>845236.68</v>
      </c>
      <c r="F12" s="19"/>
      <c r="G12" s="19"/>
      <c r="H12" s="20">
        <v>845236.68</v>
      </c>
      <c r="I12" s="20">
        <f>H12*0.301</f>
        <v>254416.24068</v>
      </c>
      <c r="J12" s="20">
        <f>H12*0.276</f>
        <v>233285.32368</v>
      </c>
      <c r="K12" s="20">
        <f>H12-I12-J12</f>
        <v>357535.11564</v>
      </c>
      <c r="L12" s="20"/>
      <c r="M12" s="20"/>
      <c r="N12" s="20"/>
      <c r="O12" s="20"/>
      <c r="P12" s="26"/>
      <c r="Q12" s="26"/>
      <c r="R12" s="26"/>
      <c r="S12" s="26">
        <f>SUM(I12:R12)</f>
        <v>845236.68</v>
      </c>
      <c r="T12" s="24" t="e">
        <f>SUM(#REF!)</f>
        <v>#REF!</v>
      </c>
      <c r="U12" s="32">
        <f>B12+17</f>
        <v>67</v>
      </c>
      <c r="V12" s="11">
        <v>8</v>
      </c>
      <c r="W12" s="11">
        <v>2</v>
      </c>
      <c r="X12" s="11"/>
      <c r="Y12" s="11"/>
      <c r="Z12" s="11"/>
    </row>
    <row r="13" s="14" customFormat="1" ht="16.5" customHeight="1" spans="1:26">
      <c r="A13" s="6">
        <v>2</v>
      </c>
      <c r="B13" s="6">
        <v>51</v>
      </c>
      <c r="C13" s="18" t="s">
        <v>29</v>
      </c>
      <c r="D13" s="19"/>
      <c r="E13" s="19"/>
      <c r="F13" s="19">
        <v>160395.86</v>
      </c>
      <c r="G13" s="19"/>
      <c r="H13" s="20">
        <v>160395.86</v>
      </c>
      <c r="I13" s="20">
        <f>H13*0.301</f>
        <v>48279.15386</v>
      </c>
      <c r="J13" s="20">
        <f>H13*0.276</f>
        <v>44269.25736</v>
      </c>
      <c r="K13" s="20">
        <f>H13-I13-J13</f>
        <v>67847.44878</v>
      </c>
      <c r="L13" s="20"/>
      <c r="M13" s="20"/>
      <c r="N13" s="20"/>
      <c r="O13" s="20"/>
      <c r="P13" s="26"/>
      <c r="Q13" s="26"/>
      <c r="R13" s="26"/>
      <c r="S13" s="26">
        <f>SUM(I13:R13)</f>
        <v>160395.86</v>
      </c>
      <c r="T13" s="24" t="e">
        <f>SUM(#REF!)</f>
        <v>#REF!</v>
      </c>
      <c r="U13" s="32">
        <f>B13+17</f>
        <v>68</v>
      </c>
      <c r="V13" s="11">
        <v>9</v>
      </c>
      <c r="W13" s="11"/>
      <c r="X13" s="11"/>
      <c r="Y13" s="11">
        <v>2</v>
      </c>
      <c r="Z13" s="11"/>
    </row>
    <row r="14" s="14" customFormat="1" ht="16.5" customHeight="1" spans="1:26">
      <c r="A14" s="6">
        <v>2</v>
      </c>
      <c r="B14" s="6">
        <v>61</v>
      </c>
      <c r="C14" s="18" t="s">
        <v>30</v>
      </c>
      <c r="D14" s="19"/>
      <c r="E14" s="19"/>
      <c r="F14" s="19"/>
      <c r="G14" s="19">
        <v>6414.71</v>
      </c>
      <c r="H14" s="20">
        <v>6414.71</v>
      </c>
      <c r="I14" s="20">
        <f>H14*0.301</f>
        <v>1930.82771</v>
      </c>
      <c r="J14" s="20">
        <f>H14*0.276</f>
        <v>1770.45996</v>
      </c>
      <c r="K14" s="20">
        <f>H14-I14-J14</f>
        <v>2713.42233</v>
      </c>
      <c r="L14" s="20"/>
      <c r="M14" s="20"/>
      <c r="N14" s="20"/>
      <c r="O14" s="20"/>
      <c r="P14" s="26"/>
      <c r="Q14" s="26"/>
      <c r="R14" s="26"/>
      <c r="S14" s="26">
        <f>SUM(I14:R14)</f>
        <v>6414.71</v>
      </c>
      <c r="T14" s="24"/>
      <c r="U14" s="32">
        <f>B14+17</f>
        <v>78</v>
      </c>
      <c r="V14" s="11"/>
      <c r="W14" s="11"/>
      <c r="X14" s="11"/>
      <c r="Y14" s="11"/>
      <c r="Z14" s="11"/>
    </row>
    <row r="15" s="9" customFormat="1" ht="16.5" customHeight="1" spans="1:26">
      <c r="A15" s="21"/>
      <c r="B15" s="6"/>
      <c r="C15" s="5" t="s">
        <v>31</v>
      </c>
      <c r="D15" s="22">
        <v>691787.32</v>
      </c>
      <c r="E15" s="22">
        <v>845236.68</v>
      </c>
      <c r="F15" s="22">
        <v>160395.86</v>
      </c>
      <c r="G15" s="22">
        <v>6414.71</v>
      </c>
      <c r="H15" s="22">
        <v>1703834.57</v>
      </c>
      <c r="I15" s="20"/>
      <c r="J15" s="20"/>
      <c r="K15" s="20"/>
      <c r="L15" s="20"/>
      <c r="M15" s="20"/>
      <c r="N15" s="20"/>
      <c r="O15" s="20"/>
      <c r="P15" s="26"/>
      <c r="Q15" s="26"/>
      <c r="R15" s="26"/>
      <c r="S15" s="26"/>
      <c r="T15" s="24" t="e">
        <f>SUM(#REF!)</f>
        <v>#REF!</v>
      </c>
      <c r="U15" s="32">
        <f>B15+17</f>
        <v>17</v>
      </c>
      <c r="V15" s="11">
        <v>10</v>
      </c>
      <c r="W15" s="10"/>
      <c r="X15" s="10"/>
      <c r="Y15" s="10"/>
      <c r="Z15" s="10"/>
    </row>
    <row r="16" s="9" customFormat="1" ht="16.5" customHeight="1" spans="1:26">
      <c r="A16" s="21"/>
      <c r="B16" s="6"/>
      <c r="C16" s="5" t="s">
        <v>32</v>
      </c>
      <c r="D16" s="22">
        <v>1353766.57</v>
      </c>
      <c r="E16" s="22">
        <v>1703854.08</v>
      </c>
      <c r="F16" s="22">
        <v>314567.84</v>
      </c>
      <c r="G16" s="22">
        <v>12679.03</v>
      </c>
      <c r="H16" s="23">
        <v>3384867.52</v>
      </c>
      <c r="I16" s="20"/>
      <c r="J16" s="20"/>
      <c r="K16" s="20"/>
      <c r="L16" s="20"/>
      <c r="M16" s="20"/>
      <c r="N16" s="20"/>
      <c r="O16" s="20"/>
      <c r="P16" s="26"/>
      <c r="Q16" s="26"/>
      <c r="R16" s="26"/>
      <c r="S16" s="26"/>
      <c r="T16" s="24" t="e">
        <f>SUM(#REF!)</f>
        <v>#REF!</v>
      </c>
      <c r="U16" s="32">
        <f>B16+17</f>
        <v>17</v>
      </c>
      <c r="V16" s="11">
        <v>11</v>
      </c>
      <c r="W16" s="10"/>
      <c r="X16" s="10"/>
      <c r="Y16" s="10"/>
      <c r="Z16" s="10"/>
    </row>
    <row r="17" s="14" customFormat="1" ht="16.5" customHeight="1" spans="1:26">
      <c r="A17" s="6">
        <v>3</v>
      </c>
      <c r="B17" s="6">
        <v>30</v>
      </c>
      <c r="C17" s="18" t="s">
        <v>27</v>
      </c>
      <c r="D17" s="19">
        <v>715504.68</v>
      </c>
      <c r="E17" s="19"/>
      <c r="F17" s="19"/>
      <c r="G17" s="19"/>
      <c r="H17" s="20">
        <v>715504.68</v>
      </c>
      <c r="I17" s="20">
        <f t="shared" ref="I17:I20" si="7">H17*0.261</f>
        <v>186746.72148</v>
      </c>
      <c r="J17" s="20">
        <f t="shared" ref="J17:J20" si="8">H17*0.2046</f>
        <v>146392.257528</v>
      </c>
      <c r="K17" s="20">
        <f t="shared" ref="K17:K20" si="9">H17*0.276</f>
        <v>197479.29168</v>
      </c>
      <c r="L17" s="20">
        <f t="shared" ref="L17:L20" si="10">H17-I17-J17-K17</f>
        <v>184886.409312</v>
      </c>
      <c r="M17" s="20"/>
      <c r="N17" s="20"/>
      <c r="O17" s="20"/>
      <c r="P17" s="26"/>
      <c r="Q17" s="26"/>
      <c r="R17" s="26"/>
      <c r="S17" s="26">
        <f>SUM(I17:R17)</f>
        <v>715504.68</v>
      </c>
      <c r="T17" s="24" t="e">
        <f>SUM(#REF!)</f>
        <v>#REF!</v>
      </c>
      <c r="U17" s="32">
        <f>B17+17</f>
        <v>47</v>
      </c>
      <c r="V17" s="11">
        <v>12</v>
      </c>
      <c r="W17" s="11"/>
      <c r="X17" s="11">
        <v>3</v>
      </c>
      <c r="Y17" s="11"/>
      <c r="Z17" s="11"/>
    </row>
    <row r="18" s="14" customFormat="1" ht="16.5" customHeight="1" spans="1:26">
      <c r="A18" s="6">
        <v>3</v>
      </c>
      <c r="B18" s="6">
        <v>64</v>
      </c>
      <c r="C18" s="18" t="s">
        <v>28</v>
      </c>
      <c r="D18" s="19"/>
      <c r="E18" s="19">
        <v>872327.56</v>
      </c>
      <c r="F18" s="19"/>
      <c r="G18" s="19"/>
      <c r="H18" s="20">
        <v>872327.56</v>
      </c>
      <c r="I18" s="20">
        <f>H18*0.261</f>
        <v>227677.49316</v>
      </c>
      <c r="J18" s="20">
        <f>H18*0.2046</f>
        <v>178478.218776</v>
      </c>
      <c r="K18" s="20">
        <f>H18*0.276</f>
        <v>240762.40656</v>
      </c>
      <c r="L18" s="20">
        <f>H18-I18-J18-K18</f>
        <v>225409.441504</v>
      </c>
      <c r="M18" s="20"/>
      <c r="N18" s="20"/>
      <c r="O18" s="20"/>
      <c r="P18" s="26"/>
      <c r="Q18" s="26"/>
      <c r="R18" s="26"/>
      <c r="S18" s="26">
        <f>SUM(I18:R18)</f>
        <v>872327.56</v>
      </c>
      <c r="T18" s="24" t="e">
        <f>SUM(#REF!)</f>
        <v>#REF!</v>
      </c>
      <c r="U18" s="32">
        <f>B18+17</f>
        <v>81</v>
      </c>
      <c r="V18" s="11">
        <v>13</v>
      </c>
      <c r="W18" s="11">
        <v>3</v>
      </c>
      <c r="X18" s="11"/>
      <c r="Y18" s="11"/>
      <c r="Z18" s="11"/>
    </row>
    <row r="19" s="14" customFormat="1" ht="16.5" customHeight="1" spans="1:26">
      <c r="A19" s="6">
        <v>3</v>
      </c>
      <c r="B19" s="6">
        <v>31</v>
      </c>
      <c r="C19" s="18" t="s">
        <v>29</v>
      </c>
      <c r="D19" s="19"/>
      <c r="E19" s="19"/>
      <c r="F19" s="19">
        <v>154274.41</v>
      </c>
      <c r="G19" s="19"/>
      <c r="H19" s="20">
        <v>154274.41</v>
      </c>
      <c r="I19" s="20">
        <f>H19*0.261</f>
        <v>40265.62101</v>
      </c>
      <c r="J19" s="20">
        <f>H19*0.2046</f>
        <v>31564.544286</v>
      </c>
      <c r="K19" s="20">
        <f>H19*0.276</f>
        <v>42579.73716</v>
      </c>
      <c r="L19" s="20">
        <f>H19-I19-J19-K19</f>
        <v>39864.507544</v>
      </c>
      <c r="M19" s="20"/>
      <c r="N19" s="20"/>
      <c r="O19" s="20"/>
      <c r="P19" s="26"/>
      <c r="Q19" s="26"/>
      <c r="R19" s="26"/>
      <c r="S19" s="26">
        <f>SUM(I19:R19)</f>
        <v>154274.41</v>
      </c>
      <c r="T19" s="24" t="e">
        <f>SUM(#REF!)</f>
        <v>#REF!</v>
      </c>
      <c r="U19" s="32">
        <f>B19+17</f>
        <v>48</v>
      </c>
      <c r="V19" s="11">
        <v>14</v>
      </c>
      <c r="W19" s="11"/>
      <c r="X19" s="11"/>
      <c r="Y19" s="11">
        <v>3</v>
      </c>
      <c r="Z19" s="11"/>
    </row>
    <row r="20" s="14" customFormat="1" ht="16.5" customHeight="1" spans="1:26">
      <c r="A20" s="6">
        <v>3</v>
      </c>
      <c r="B20" s="6">
        <v>32</v>
      </c>
      <c r="C20" s="18" t="s">
        <v>30</v>
      </c>
      <c r="D20" s="19"/>
      <c r="E20" s="19"/>
      <c r="F20" s="19"/>
      <c r="G20" s="19">
        <v>6626.23</v>
      </c>
      <c r="H20" s="20">
        <v>6626.23</v>
      </c>
      <c r="I20" s="20">
        <f>H20*0.261</f>
        <v>1729.44603</v>
      </c>
      <c r="J20" s="20">
        <f>H20*0.2046</f>
        <v>1355.726658</v>
      </c>
      <c r="K20" s="20">
        <f>H20*0.276</f>
        <v>1828.83948</v>
      </c>
      <c r="L20" s="20">
        <f>H20-I20-J20-K20</f>
        <v>1712.217832</v>
      </c>
      <c r="M20" s="20"/>
      <c r="N20" s="20"/>
      <c r="O20" s="20"/>
      <c r="P20" s="26"/>
      <c r="Q20" s="26"/>
      <c r="R20" s="26"/>
      <c r="S20" s="26">
        <f>SUM(I20:R20)</f>
        <v>6626.23</v>
      </c>
      <c r="T20" s="24" t="e">
        <f>SUM(#REF!)</f>
        <v>#REF!</v>
      </c>
      <c r="U20" s="32">
        <f>B20+17</f>
        <v>49</v>
      </c>
      <c r="V20" s="11">
        <v>15</v>
      </c>
      <c r="W20" s="11"/>
      <c r="X20" s="11"/>
      <c r="Y20" s="11"/>
      <c r="Z20" s="11">
        <v>2</v>
      </c>
    </row>
    <row r="21" s="9" customFormat="1" ht="16.5" customHeight="1" spans="1:26">
      <c r="A21" s="21"/>
      <c r="B21" s="6"/>
      <c r="C21" s="5" t="s">
        <v>31</v>
      </c>
      <c r="D21" s="22">
        <v>715504.68</v>
      </c>
      <c r="E21" s="22">
        <v>872327.56</v>
      </c>
      <c r="F21" s="22">
        <v>154274.41</v>
      </c>
      <c r="G21" s="22">
        <v>6626.23</v>
      </c>
      <c r="H21" s="23">
        <v>1748732.88</v>
      </c>
      <c r="I21" s="20"/>
      <c r="J21" s="20"/>
      <c r="K21" s="20"/>
      <c r="L21" s="20"/>
      <c r="M21" s="20"/>
      <c r="N21" s="20"/>
      <c r="O21" s="20"/>
      <c r="P21" s="26"/>
      <c r="Q21" s="26"/>
      <c r="R21" s="26"/>
      <c r="S21" s="26"/>
      <c r="T21" s="24" t="e">
        <f>SUM(#REF!)</f>
        <v>#REF!</v>
      </c>
      <c r="U21" s="32">
        <f>B21+17</f>
        <v>17</v>
      </c>
      <c r="V21" s="11">
        <v>16</v>
      </c>
      <c r="W21" s="10"/>
      <c r="X21" s="10"/>
      <c r="Y21" s="10"/>
      <c r="Z21" s="10"/>
    </row>
    <row r="22" s="9" customFormat="1" ht="16.5" customHeight="1" spans="1:26">
      <c r="A22" s="21"/>
      <c r="B22" s="6"/>
      <c r="C22" s="5" t="s">
        <v>32</v>
      </c>
      <c r="D22" s="22">
        <v>2069271.25</v>
      </c>
      <c r="E22" s="22">
        <v>2576181.64</v>
      </c>
      <c r="F22" s="22">
        <v>468842.25</v>
      </c>
      <c r="G22" s="22">
        <v>19305.26</v>
      </c>
      <c r="H22" s="23">
        <v>5133600.4</v>
      </c>
      <c r="I22" s="20"/>
      <c r="J22" s="20"/>
      <c r="K22" s="20"/>
      <c r="L22" s="20"/>
      <c r="M22" s="20"/>
      <c r="N22" s="20"/>
      <c r="O22" s="20"/>
      <c r="P22" s="26"/>
      <c r="Q22" s="26"/>
      <c r="R22" s="26"/>
      <c r="S22" s="26"/>
      <c r="T22" s="24" t="e">
        <f>SUM(#REF!)</f>
        <v>#REF!</v>
      </c>
      <c r="U22" s="32">
        <f>B22+17</f>
        <v>17</v>
      </c>
      <c r="V22" s="11">
        <v>17</v>
      </c>
      <c r="W22" s="10"/>
      <c r="X22" s="10"/>
      <c r="Y22" s="10"/>
      <c r="Z22" s="10"/>
    </row>
    <row r="23" s="14" customFormat="1" ht="16.5" customHeight="1" spans="1:26">
      <c r="A23" s="6">
        <v>4</v>
      </c>
      <c r="B23" s="6">
        <v>27</v>
      </c>
      <c r="C23" s="18" t="s">
        <v>27</v>
      </c>
      <c r="D23" s="19">
        <v>714605.96</v>
      </c>
      <c r="E23" s="19"/>
      <c r="F23" s="19"/>
      <c r="G23" s="19"/>
      <c r="H23" s="20">
        <v>714605.96</v>
      </c>
      <c r="I23" s="20">
        <f t="shared" ref="I23:I26" si="11">H23*0.21</f>
        <v>150067.2516</v>
      </c>
      <c r="J23" s="20">
        <f t="shared" ref="J23:J26" si="12">H23*0.1946</f>
        <v>139062.319816</v>
      </c>
      <c r="K23" s="20">
        <f t="shared" ref="K23:K26" si="13">H23*0.2078</f>
        <v>148495.118488</v>
      </c>
      <c r="L23" s="20">
        <f t="shared" ref="L23:L26" si="14">H23*0.16</f>
        <v>114336.9536</v>
      </c>
      <c r="M23" s="20">
        <f t="shared" ref="M23:M26" si="15">H23-I23-J23-K23-L23</f>
        <v>162644.316496</v>
      </c>
      <c r="N23" s="20"/>
      <c r="O23" s="20"/>
      <c r="P23" s="26"/>
      <c r="Q23" s="26"/>
      <c r="R23" s="26"/>
      <c r="S23" s="26">
        <f>SUM(I23:R23)</f>
        <v>714605.96</v>
      </c>
      <c r="T23" s="24" t="e">
        <f>SUM(#REF!)</f>
        <v>#REF!</v>
      </c>
      <c r="U23" s="32">
        <f>B23+17</f>
        <v>44</v>
      </c>
      <c r="V23" s="11">
        <v>18</v>
      </c>
      <c r="W23" s="11"/>
      <c r="X23" s="11">
        <v>4</v>
      </c>
      <c r="Y23" s="11"/>
      <c r="Z23" s="11"/>
    </row>
    <row r="24" s="14" customFormat="1" ht="16.5" customHeight="1" spans="1:26">
      <c r="A24" s="6">
        <v>4</v>
      </c>
      <c r="B24" s="6">
        <v>75</v>
      </c>
      <c r="C24" s="18" t="s">
        <v>28</v>
      </c>
      <c r="D24" s="19"/>
      <c r="E24" s="19">
        <v>900849.44</v>
      </c>
      <c r="F24" s="19"/>
      <c r="G24" s="19"/>
      <c r="H24" s="20">
        <v>900849.44</v>
      </c>
      <c r="I24" s="20">
        <f>H24*0.21</f>
        <v>189178.3824</v>
      </c>
      <c r="J24" s="20">
        <f>H24*0.1946</f>
        <v>175305.301024</v>
      </c>
      <c r="K24" s="20">
        <f>H24*0.2078</f>
        <v>187196.513632</v>
      </c>
      <c r="L24" s="20">
        <f>H24*0.16</f>
        <v>144135.9104</v>
      </c>
      <c r="M24" s="20">
        <f>H24-I24-J24-K24-L24</f>
        <v>205033.332544</v>
      </c>
      <c r="N24" s="20"/>
      <c r="O24" s="20"/>
      <c r="P24" s="26"/>
      <c r="Q24" s="26"/>
      <c r="R24" s="26"/>
      <c r="S24" s="26">
        <f>SUM(I24:R24)</f>
        <v>900849.44</v>
      </c>
      <c r="T24" s="24" t="e">
        <f>SUM(#REF!)</f>
        <v>#REF!</v>
      </c>
      <c r="U24" s="32">
        <f>B24+17</f>
        <v>92</v>
      </c>
      <c r="V24" s="11">
        <v>19</v>
      </c>
      <c r="W24" s="11">
        <v>4</v>
      </c>
      <c r="X24" s="11"/>
      <c r="Y24" s="11"/>
      <c r="Z24" s="11"/>
    </row>
    <row r="25" s="14" customFormat="1" ht="16.5" customHeight="1" spans="1:26">
      <c r="A25" s="6">
        <v>4</v>
      </c>
      <c r="B25" s="6">
        <v>71</v>
      </c>
      <c r="C25" s="18" t="s">
        <v>29</v>
      </c>
      <c r="D25" s="19"/>
      <c r="E25" s="19"/>
      <c r="F25" s="19">
        <v>161145.59</v>
      </c>
      <c r="G25" s="19"/>
      <c r="H25" s="20">
        <v>161145.59</v>
      </c>
      <c r="I25" s="20">
        <f>H25*0.21</f>
        <v>33840.5739</v>
      </c>
      <c r="J25" s="20">
        <f>H25*0.1946</f>
        <v>31358.931814</v>
      </c>
      <c r="K25" s="20">
        <f>H25*0.2078</f>
        <v>33486.053602</v>
      </c>
      <c r="L25" s="20">
        <f>H25*0.16</f>
        <v>25783.2944</v>
      </c>
      <c r="M25" s="20">
        <f>H25-I25-J25-K25-L25</f>
        <v>36676.736284</v>
      </c>
      <c r="N25" s="20"/>
      <c r="O25" s="20"/>
      <c r="P25" s="26"/>
      <c r="Q25" s="26"/>
      <c r="R25" s="26"/>
      <c r="S25" s="26">
        <f>SUM(I25:R25)</f>
        <v>161145.59</v>
      </c>
      <c r="T25" s="24" t="e">
        <f>SUM(#REF!)</f>
        <v>#REF!</v>
      </c>
      <c r="U25" s="32">
        <f>B25+17</f>
        <v>88</v>
      </c>
      <c r="V25" s="11">
        <v>20</v>
      </c>
      <c r="W25" s="11"/>
      <c r="X25" s="11"/>
      <c r="Y25" s="11">
        <v>4</v>
      </c>
      <c r="Z25" s="11"/>
    </row>
    <row r="26" s="14" customFormat="1" ht="16.5" customHeight="1" spans="1:26">
      <c r="A26" s="6">
        <v>4</v>
      </c>
      <c r="B26" s="6">
        <v>17</v>
      </c>
      <c r="C26" s="18" t="s">
        <v>30</v>
      </c>
      <c r="D26" s="19"/>
      <c r="E26" s="19"/>
      <c r="F26" s="19"/>
      <c r="G26" s="19">
        <v>6037.1</v>
      </c>
      <c r="H26" s="20">
        <v>6037.1</v>
      </c>
      <c r="I26" s="20">
        <f>H26*0.21</f>
        <v>1267.791</v>
      </c>
      <c r="J26" s="20">
        <f>H26*0.1946</f>
        <v>1174.81966</v>
      </c>
      <c r="K26" s="20">
        <f>H26*0.2078</f>
        <v>1254.50938</v>
      </c>
      <c r="L26" s="20">
        <f>H26*0.16</f>
        <v>965.936</v>
      </c>
      <c r="M26" s="20">
        <f>H26-I26-J26-K26-L26</f>
        <v>1374.04396</v>
      </c>
      <c r="N26" s="20"/>
      <c r="O26" s="20"/>
      <c r="P26" s="26"/>
      <c r="Q26" s="26"/>
      <c r="R26" s="26"/>
      <c r="S26" s="26">
        <f>SUM(I26:R26)</f>
        <v>6037.1</v>
      </c>
      <c r="T26" s="24"/>
      <c r="U26" s="32">
        <f>B26+17</f>
        <v>34</v>
      </c>
      <c r="V26" s="11"/>
      <c r="W26" s="11"/>
      <c r="X26" s="11"/>
      <c r="Y26" s="11"/>
      <c r="Z26" s="11"/>
    </row>
    <row r="27" s="10" customFormat="1" ht="16.5" customHeight="1" spans="1:22">
      <c r="A27" s="21"/>
      <c r="B27" s="6"/>
      <c r="C27" s="5" t="s">
        <v>31</v>
      </c>
      <c r="D27" s="22">
        <v>714605.96</v>
      </c>
      <c r="E27" s="22">
        <v>900849.44</v>
      </c>
      <c r="F27" s="22">
        <v>161145.59</v>
      </c>
      <c r="G27" s="22">
        <v>6037.1</v>
      </c>
      <c r="H27" s="22">
        <v>1782638.09</v>
      </c>
      <c r="I27" s="20"/>
      <c r="J27" s="20"/>
      <c r="K27" s="20"/>
      <c r="L27" s="20"/>
      <c r="M27" s="20"/>
      <c r="N27" s="20"/>
      <c r="O27" s="20"/>
      <c r="P27" s="26"/>
      <c r="Q27" s="26"/>
      <c r="R27" s="26"/>
      <c r="S27" s="26"/>
      <c r="T27" s="24" t="e">
        <f>SUM(#REF!)</f>
        <v>#REF!</v>
      </c>
      <c r="U27" s="32">
        <f>B27+17</f>
        <v>17</v>
      </c>
      <c r="V27" s="11">
        <v>21</v>
      </c>
    </row>
    <row r="28" s="10" customFormat="1" ht="16.5" customHeight="1" spans="1:22">
      <c r="A28" s="21"/>
      <c r="B28" s="6"/>
      <c r="C28" s="5" t="s">
        <v>32</v>
      </c>
      <c r="D28" s="22">
        <v>2783877.21</v>
      </c>
      <c r="E28" s="22">
        <v>3477031.08</v>
      </c>
      <c r="F28" s="22">
        <v>629987.84</v>
      </c>
      <c r="G28" s="22">
        <v>25342.36</v>
      </c>
      <c r="H28" s="23">
        <v>6916238.49</v>
      </c>
      <c r="I28" s="20"/>
      <c r="J28" s="20"/>
      <c r="K28" s="20"/>
      <c r="L28" s="20"/>
      <c r="M28" s="20"/>
      <c r="N28" s="20"/>
      <c r="O28" s="20"/>
      <c r="P28" s="26"/>
      <c r="Q28" s="26"/>
      <c r="R28" s="26"/>
      <c r="S28" s="26"/>
      <c r="T28" s="24" t="e">
        <f>SUM(#REF!)</f>
        <v>#REF!</v>
      </c>
      <c r="U28" s="32">
        <f>B28+17</f>
        <v>17</v>
      </c>
      <c r="V28" s="11">
        <v>22</v>
      </c>
    </row>
    <row r="29" s="14" customFormat="1" ht="16.5" customHeight="1" spans="1:26">
      <c r="A29" s="6">
        <v>5</v>
      </c>
      <c r="B29" s="6">
        <v>31</v>
      </c>
      <c r="C29" s="18" t="s">
        <v>27</v>
      </c>
      <c r="D29" s="19">
        <v>706876.85</v>
      </c>
      <c r="E29" s="19"/>
      <c r="F29" s="19"/>
      <c r="G29" s="19"/>
      <c r="H29" s="20">
        <v>706876.85</v>
      </c>
      <c r="I29" s="20">
        <f>H29*0.101</f>
        <v>71394.56185</v>
      </c>
      <c r="J29" s="20">
        <f>H29*0.146</f>
        <v>103204.0201</v>
      </c>
      <c r="K29" s="20">
        <f>H29*0.128</f>
        <v>90480.2368</v>
      </c>
      <c r="L29" s="20">
        <f>H29*0.106</f>
        <v>74928.9461</v>
      </c>
      <c r="M29" s="20">
        <f>H29*0.15</f>
        <v>106031.5275</v>
      </c>
      <c r="N29" s="49">
        <f>H29*0.113</f>
        <v>79877.08405</v>
      </c>
      <c r="O29" s="49">
        <f>H29*0.123</f>
        <v>86945.85255</v>
      </c>
      <c r="P29" s="50">
        <f>H29-I29-J29-K29-L29-M29-N29-O29</f>
        <v>94014.6210499999</v>
      </c>
      <c r="Q29" s="26"/>
      <c r="R29" s="26"/>
      <c r="S29" s="26">
        <f>SUM(I29:R29)</f>
        <v>706876.85</v>
      </c>
      <c r="T29" s="24" t="e">
        <f>SUM(#REF!)</f>
        <v>#REF!</v>
      </c>
      <c r="U29" s="32">
        <f>B29+17</f>
        <v>48</v>
      </c>
      <c r="V29" s="11">
        <v>23</v>
      </c>
      <c r="W29" s="11"/>
      <c r="X29" s="11">
        <v>5</v>
      </c>
      <c r="Y29" s="11"/>
      <c r="Z29" s="11"/>
    </row>
    <row r="30" s="14" customFormat="1" ht="16.5" customHeight="1" spans="1:26">
      <c r="A30" s="6">
        <v>5</v>
      </c>
      <c r="B30" s="6">
        <v>71</v>
      </c>
      <c r="C30" s="18" t="s">
        <v>28</v>
      </c>
      <c r="D30" s="19"/>
      <c r="E30" s="19">
        <v>880837.4</v>
      </c>
      <c r="F30" s="19"/>
      <c r="G30" s="19"/>
      <c r="H30" s="20">
        <v>880837.4</v>
      </c>
      <c r="I30" s="20">
        <f t="shared" ref="I30:I38" si="16">H30*0.101</f>
        <v>88964.5774</v>
      </c>
      <c r="J30" s="20">
        <f t="shared" ref="J30:J38" si="17">H30*0.146</f>
        <v>128602.2604</v>
      </c>
      <c r="K30" s="20">
        <f t="shared" ref="K30:K38" si="18">H30*0.128</f>
        <v>112747.1872</v>
      </c>
      <c r="L30" s="20">
        <f t="shared" ref="L30:L38" si="19">H30*0.106</f>
        <v>93368.7644</v>
      </c>
      <c r="M30" s="20">
        <f t="shared" ref="M30:M38" si="20">H30*0.15</f>
        <v>132125.61</v>
      </c>
      <c r="N30" s="49">
        <f t="shared" ref="N30:N38" si="21">H30*0.113</f>
        <v>99534.6262</v>
      </c>
      <c r="O30" s="49">
        <f t="shared" ref="O30:O38" si="22">H30*0.123</f>
        <v>108343.0002</v>
      </c>
      <c r="P30" s="50">
        <f t="shared" ref="P30:P38" si="23">H30-I30-J30-K30-L30-M30-N30-O30</f>
        <v>117151.3742</v>
      </c>
      <c r="Q30" s="26"/>
      <c r="R30" s="26"/>
      <c r="S30" s="26">
        <f>SUM(I30:R30)</f>
        <v>880837.4</v>
      </c>
      <c r="T30" s="24" t="e">
        <f>SUM(#REF!)</f>
        <v>#REF!</v>
      </c>
      <c r="U30" s="32">
        <f>B30+17</f>
        <v>88</v>
      </c>
      <c r="V30" s="11">
        <v>24</v>
      </c>
      <c r="W30" s="11">
        <v>5</v>
      </c>
      <c r="X30" s="11"/>
      <c r="Y30" s="11"/>
      <c r="Z30" s="11"/>
    </row>
    <row r="31" s="14" customFormat="1" ht="16.5" customHeight="1" spans="1:26">
      <c r="A31" s="6">
        <v>5</v>
      </c>
      <c r="B31" s="6">
        <v>37</v>
      </c>
      <c r="C31" s="18" t="s">
        <v>29</v>
      </c>
      <c r="D31" s="19"/>
      <c r="E31" s="19"/>
      <c r="F31" s="19">
        <v>152467.13</v>
      </c>
      <c r="G31" s="19"/>
      <c r="H31" s="20">
        <v>152467.13</v>
      </c>
      <c r="I31" s="20">
        <f>H31*0.101</f>
        <v>15399.18013</v>
      </c>
      <c r="J31" s="20">
        <f>H31*0.146</f>
        <v>22260.20098</v>
      </c>
      <c r="K31" s="20">
        <f>H31*0.128</f>
        <v>19515.79264</v>
      </c>
      <c r="L31" s="20">
        <f>H31*0.106</f>
        <v>16161.51578</v>
      </c>
      <c r="M31" s="20">
        <f>H31*0.15</f>
        <v>22870.0695</v>
      </c>
      <c r="N31" s="49">
        <f>H31*0.113</f>
        <v>17228.78569</v>
      </c>
      <c r="O31" s="49">
        <f>H31*0.123</f>
        <v>18753.45699</v>
      </c>
      <c r="P31" s="50">
        <f>H31-I31-J31-K31-L31-M31-N31-O31</f>
        <v>20278.12829</v>
      </c>
      <c r="Q31" s="26"/>
      <c r="R31" s="26"/>
      <c r="S31" s="26">
        <f>SUM(I31:R31)</f>
        <v>152467.13</v>
      </c>
      <c r="T31" s="24" t="e">
        <f>SUM(#REF!)</f>
        <v>#REF!</v>
      </c>
      <c r="U31" s="32">
        <f>B31+17</f>
        <v>54</v>
      </c>
      <c r="V31" s="11">
        <v>25</v>
      </c>
      <c r="W31" s="11"/>
      <c r="X31" s="11"/>
      <c r="Y31" s="11">
        <v>5</v>
      </c>
      <c r="Z31" s="11"/>
    </row>
    <row r="32" s="14" customFormat="1" ht="16.5" customHeight="1" spans="1:26">
      <c r="A32" s="6">
        <v>5</v>
      </c>
      <c r="B32" s="6">
        <v>17</v>
      </c>
      <c r="C32" s="18" t="s">
        <v>30</v>
      </c>
      <c r="D32" s="19"/>
      <c r="E32" s="19"/>
      <c r="F32" s="19"/>
      <c r="G32" s="19">
        <v>6241.66</v>
      </c>
      <c r="H32" s="20">
        <v>6241.66</v>
      </c>
      <c r="I32" s="20">
        <f>H32*0.101</f>
        <v>630.40766</v>
      </c>
      <c r="J32" s="20">
        <f>H32*0.146</f>
        <v>911.28236</v>
      </c>
      <c r="K32" s="20">
        <f>H32*0.128</f>
        <v>798.93248</v>
      </c>
      <c r="L32" s="20">
        <f>H32*0.106</f>
        <v>661.61596</v>
      </c>
      <c r="M32" s="20">
        <f>H32*0.15</f>
        <v>936.249</v>
      </c>
      <c r="N32" s="49">
        <f>H32*0.113</f>
        <v>705.30758</v>
      </c>
      <c r="O32" s="49">
        <f>H32*0.123</f>
        <v>767.72418</v>
      </c>
      <c r="P32" s="50">
        <f>H32-I32-J32-K32-L32-M32-N32-O32</f>
        <v>830.14078</v>
      </c>
      <c r="Q32" s="26"/>
      <c r="R32" s="26"/>
      <c r="S32" s="26">
        <f>SUM(I32:R32)</f>
        <v>6241.66</v>
      </c>
      <c r="T32" s="24"/>
      <c r="U32" s="32">
        <f>B32+17</f>
        <v>34</v>
      </c>
      <c r="V32" s="11"/>
      <c r="W32" s="11"/>
      <c r="X32" s="11"/>
      <c r="Y32" s="11"/>
      <c r="Z32" s="11"/>
    </row>
    <row r="33" s="9" customFormat="1" ht="16.5" customHeight="1" spans="1:26">
      <c r="A33" s="21"/>
      <c r="B33" s="6"/>
      <c r="C33" s="5" t="s">
        <v>31</v>
      </c>
      <c r="D33" s="22">
        <v>706876.85</v>
      </c>
      <c r="E33" s="22">
        <v>880837.4</v>
      </c>
      <c r="F33" s="22">
        <v>152467.13</v>
      </c>
      <c r="G33" s="22">
        <v>6241.66</v>
      </c>
      <c r="H33" s="22">
        <v>1746423.04</v>
      </c>
      <c r="I33" s="20"/>
      <c r="J33" s="20"/>
      <c r="K33" s="20"/>
      <c r="L33" s="20"/>
      <c r="M33" s="20"/>
      <c r="N33" s="20"/>
      <c r="O33" s="20"/>
      <c r="P33" s="26"/>
      <c r="Q33" s="26"/>
      <c r="R33" s="26"/>
      <c r="S33" s="26"/>
      <c r="T33" s="24" t="e">
        <f>SUM(#REF!)</f>
        <v>#REF!</v>
      </c>
      <c r="U33" s="32">
        <f>B33+17</f>
        <v>17</v>
      </c>
      <c r="V33" s="11">
        <v>26</v>
      </c>
      <c r="W33" s="10"/>
      <c r="X33" s="10"/>
      <c r="Y33" s="10"/>
      <c r="Z33" s="10"/>
    </row>
    <row r="34" s="9" customFormat="1" ht="16.5" customHeight="1" spans="1:26">
      <c r="A34" s="21"/>
      <c r="B34" s="6"/>
      <c r="C34" s="5" t="s">
        <v>32</v>
      </c>
      <c r="D34" s="22">
        <v>3490754.06</v>
      </c>
      <c r="E34" s="22">
        <v>4357868.48</v>
      </c>
      <c r="F34" s="22">
        <v>782454.97</v>
      </c>
      <c r="G34" s="22">
        <v>31584.02</v>
      </c>
      <c r="H34" s="23">
        <v>8662661.53</v>
      </c>
      <c r="I34" s="20"/>
      <c r="J34" s="20"/>
      <c r="K34" s="20"/>
      <c r="L34" s="20"/>
      <c r="M34" s="20"/>
      <c r="N34" s="20"/>
      <c r="O34" s="20"/>
      <c r="P34" s="26"/>
      <c r="Q34" s="26"/>
      <c r="R34" s="26"/>
      <c r="S34" s="26"/>
      <c r="T34" s="24" t="e">
        <f>SUM(#REF!)</f>
        <v>#REF!</v>
      </c>
      <c r="U34" s="32">
        <f>B34+17</f>
        <v>17</v>
      </c>
      <c r="V34" s="11">
        <v>27</v>
      </c>
      <c r="W34" s="10"/>
      <c r="X34" s="10"/>
      <c r="Y34" s="10"/>
      <c r="Z34" s="10"/>
    </row>
    <row r="35" s="14" customFormat="1" ht="16.5" customHeight="1" spans="1:26">
      <c r="A35" s="6">
        <v>6</v>
      </c>
      <c r="B35" s="6">
        <v>35</v>
      </c>
      <c r="C35" s="18" t="s">
        <v>27</v>
      </c>
      <c r="D35" s="19">
        <v>672239.13</v>
      </c>
      <c r="E35" s="19"/>
      <c r="F35" s="19"/>
      <c r="G35" s="19"/>
      <c r="H35" s="20">
        <v>672239.13</v>
      </c>
      <c r="I35" s="20">
        <f>H35*0.101</f>
        <v>67896.15213</v>
      </c>
      <c r="J35" s="20">
        <f>H35*0.146</f>
        <v>98146.91298</v>
      </c>
      <c r="K35" s="20">
        <f>H35*0.128</f>
        <v>86046.60864</v>
      </c>
      <c r="L35" s="20">
        <f>H35*0.106</f>
        <v>71257.34778</v>
      </c>
      <c r="M35" s="20">
        <f>H35*0.15</f>
        <v>100835.8695</v>
      </c>
      <c r="N35" s="49">
        <f>H35*0.113</f>
        <v>75963.02169</v>
      </c>
      <c r="O35" s="49">
        <f>H35*0.123</f>
        <v>82685.41299</v>
      </c>
      <c r="P35" s="50">
        <f>H35-I35-J35-K35-L35-M35-N35-O35</f>
        <v>89407.80429</v>
      </c>
      <c r="Q35" s="26"/>
      <c r="R35" s="26"/>
      <c r="S35" s="26">
        <f>SUM(I35:R35)</f>
        <v>672239.13</v>
      </c>
      <c r="T35" s="24" t="e">
        <f>SUM(#REF!)</f>
        <v>#REF!</v>
      </c>
      <c r="U35" s="32">
        <f>B35+17</f>
        <v>52</v>
      </c>
      <c r="V35" s="11">
        <v>28</v>
      </c>
      <c r="W35" s="11"/>
      <c r="X35" s="11">
        <v>6</v>
      </c>
      <c r="Y35" s="11"/>
      <c r="Z35" s="11"/>
    </row>
    <row r="36" s="14" customFormat="1" ht="16.5" customHeight="1" spans="1:26">
      <c r="A36" s="6">
        <v>6</v>
      </c>
      <c r="B36" s="6">
        <v>67</v>
      </c>
      <c r="C36" s="18" t="s">
        <v>28</v>
      </c>
      <c r="D36" s="19"/>
      <c r="E36" s="19">
        <v>877174.21</v>
      </c>
      <c r="F36" s="19"/>
      <c r="G36" s="19"/>
      <c r="H36" s="20">
        <v>877174.21</v>
      </c>
      <c r="I36" s="20">
        <f>H36*0.101</f>
        <v>88594.59521</v>
      </c>
      <c r="J36" s="20">
        <f>H36*0.146</f>
        <v>128067.43466</v>
      </c>
      <c r="K36" s="20">
        <f>H36*0.128</f>
        <v>112278.29888</v>
      </c>
      <c r="L36" s="20">
        <f>H36*0.106</f>
        <v>92980.46626</v>
      </c>
      <c r="M36" s="20">
        <f>H36*0.15</f>
        <v>131576.1315</v>
      </c>
      <c r="N36" s="49">
        <f>H36*0.113</f>
        <v>99120.68573</v>
      </c>
      <c r="O36" s="49">
        <f>H36*0.123</f>
        <v>107892.42783</v>
      </c>
      <c r="P36" s="50">
        <f>H36-I36-J36-K36-L36-M36-N36-O36</f>
        <v>116664.16993</v>
      </c>
      <c r="Q36" s="26"/>
      <c r="R36" s="26"/>
      <c r="S36" s="26">
        <f>SUM(I36:R36)</f>
        <v>877174.21</v>
      </c>
      <c r="T36" s="24" t="e">
        <f>SUM(#REF!)</f>
        <v>#REF!</v>
      </c>
      <c r="U36" s="32">
        <f>B36+17</f>
        <v>84</v>
      </c>
      <c r="V36" s="11">
        <v>29</v>
      </c>
      <c r="W36" s="11">
        <v>6</v>
      </c>
      <c r="X36" s="11"/>
      <c r="Y36" s="11"/>
      <c r="Z36" s="11"/>
    </row>
    <row r="37" s="14" customFormat="1" ht="16.5" customHeight="1" spans="1:26">
      <c r="A37" s="6">
        <v>6</v>
      </c>
      <c r="B37" s="6">
        <v>71</v>
      </c>
      <c r="C37" s="18" t="s">
        <v>29</v>
      </c>
      <c r="D37" s="19"/>
      <c r="E37" s="19"/>
      <c r="F37" s="19">
        <v>162867.21</v>
      </c>
      <c r="G37" s="19"/>
      <c r="H37" s="20">
        <v>162867.21</v>
      </c>
      <c r="I37" s="20">
        <f>H37*0.101</f>
        <v>16449.58821</v>
      </c>
      <c r="J37" s="20">
        <f>H37*0.146</f>
        <v>23778.61266</v>
      </c>
      <c r="K37" s="20">
        <f>H37*0.128</f>
        <v>20847.00288</v>
      </c>
      <c r="L37" s="20">
        <f>H37*0.106</f>
        <v>17263.92426</v>
      </c>
      <c r="M37" s="20">
        <f>H37*0.15</f>
        <v>24430.0815</v>
      </c>
      <c r="N37" s="49">
        <f>H37*0.113</f>
        <v>18403.99473</v>
      </c>
      <c r="O37" s="49">
        <f>H37*0.123</f>
        <v>20032.66683</v>
      </c>
      <c r="P37" s="50">
        <f>H37-I37-J37-K37-L37-M37-N37-O37</f>
        <v>21661.33893</v>
      </c>
      <c r="Q37" s="26"/>
      <c r="R37" s="26"/>
      <c r="S37" s="26">
        <f>SUM(I37:R37)</f>
        <v>162867.21</v>
      </c>
      <c r="T37" s="24" t="e">
        <f>SUM(#REF!)</f>
        <v>#REF!</v>
      </c>
      <c r="U37" s="32">
        <f>B37+17</f>
        <v>88</v>
      </c>
      <c r="V37" s="11">
        <v>30</v>
      </c>
      <c r="W37" s="11"/>
      <c r="X37" s="11"/>
      <c r="Y37" s="11">
        <v>6</v>
      </c>
      <c r="Z37" s="11"/>
    </row>
    <row r="38" s="14" customFormat="1" ht="16.5" customHeight="1" spans="1:26">
      <c r="A38" s="6">
        <v>6</v>
      </c>
      <c r="B38" s="6">
        <v>17</v>
      </c>
      <c r="C38" s="18" t="s">
        <v>30</v>
      </c>
      <c r="D38" s="19"/>
      <c r="E38" s="19"/>
      <c r="F38" s="19"/>
      <c r="G38" s="19">
        <v>6342.46</v>
      </c>
      <c r="H38" s="20">
        <v>6342.46</v>
      </c>
      <c r="I38" s="20">
        <f>H38*0.101</f>
        <v>640.58846</v>
      </c>
      <c r="J38" s="20">
        <f>H38*0.146</f>
        <v>925.99916</v>
      </c>
      <c r="K38" s="20">
        <f>H38*0.128</f>
        <v>811.83488</v>
      </c>
      <c r="L38" s="20">
        <f>H38*0.106</f>
        <v>672.30076</v>
      </c>
      <c r="M38" s="20">
        <f>H38*0.15</f>
        <v>951.369</v>
      </c>
      <c r="N38" s="49">
        <f>H38*0.113</f>
        <v>716.69798</v>
      </c>
      <c r="O38" s="49">
        <f>H38*0.123</f>
        <v>780.12258</v>
      </c>
      <c r="P38" s="50">
        <f>H38-I38-J38-K38-L38-M38-N38-O38</f>
        <v>843.54718</v>
      </c>
      <c r="Q38" s="26"/>
      <c r="R38" s="26"/>
      <c r="S38" s="26">
        <f>SUM(I38:R38)</f>
        <v>6342.46</v>
      </c>
      <c r="T38" s="24"/>
      <c r="U38" s="32">
        <f t="shared" ref="U38:U74" si="24">B38+17</f>
        <v>34</v>
      </c>
      <c r="V38" s="11"/>
      <c r="W38" s="11"/>
      <c r="X38" s="11"/>
      <c r="Y38" s="11"/>
      <c r="Z38" s="11"/>
    </row>
    <row r="39" s="9" customFormat="1" ht="16.5" customHeight="1" spans="1:26">
      <c r="A39" s="21"/>
      <c r="B39" s="6"/>
      <c r="C39" s="5" t="s">
        <v>31</v>
      </c>
      <c r="D39" s="22">
        <v>672239.13</v>
      </c>
      <c r="E39" s="22">
        <v>877174.21</v>
      </c>
      <c r="F39" s="22">
        <v>162867.21</v>
      </c>
      <c r="G39" s="22">
        <v>6342.46</v>
      </c>
      <c r="H39" s="22">
        <v>1718623.01</v>
      </c>
      <c r="I39" s="20"/>
      <c r="J39" s="20"/>
      <c r="K39" s="20"/>
      <c r="L39" s="20"/>
      <c r="M39" s="20"/>
      <c r="N39" s="20"/>
      <c r="O39" s="20"/>
      <c r="P39" s="26"/>
      <c r="Q39" s="26"/>
      <c r="R39" s="26"/>
      <c r="S39" s="26"/>
      <c r="T39" s="24" t="e">
        <f>SUM(#REF!)</f>
        <v>#REF!</v>
      </c>
      <c r="U39" s="32">
        <f>B39+17</f>
        <v>17</v>
      </c>
      <c r="V39" s="11">
        <v>31</v>
      </c>
      <c r="W39" s="10"/>
      <c r="X39" s="10"/>
      <c r="Y39" s="10"/>
      <c r="Z39" s="10"/>
    </row>
    <row r="40" s="9" customFormat="1" ht="16.5" customHeight="1" spans="1:26">
      <c r="A40" s="21"/>
      <c r="B40" s="6"/>
      <c r="C40" s="5" t="s">
        <v>32</v>
      </c>
      <c r="D40" s="22">
        <v>4162993.19</v>
      </c>
      <c r="E40" s="22">
        <v>5235042.69</v>
      </c>
      <c r="F40" s="22">
        <v>945322.18</v>
      </c>
      <c r="G40" s="22">
        <v>37926.48</v>
      </c>
      <c r="H40" s="23">
        <v>10381284.54</v>
      </c>
      <c r="I40" s="20"/>
      <c r="J40" s="20"/>
      <c r="K40" s="20"/>
      <c r="L40" s="20"/>
      <c r="M40" s="20"/>
      <c r="N40" s="20"/>
      <c r="O40" s="20"/>
      <c r="P40" s="26"/>
      <c r="Q40" s="26"/>
      <c r="R40" s="26"/>
      <c r="S40" s="26"/>
      <c r="T40" s="24" t="e">
        <f>SUM(#REF!)</f>
        <v>#REF!</v>
      </c>
      <c r="U40" s="32">
        <f>B40+17</f>
        <v>17</v>
      </c>
      <c r="V40" s="11">
        <v>32</v>
      </c>
      <c r="W40" s="10"/>
      <c r="X40" s="10"/>
      <c r="Y40" s="10"/>
      <c r="Z40" s="10"/>
    </row>
    <row r="41" s="14" customFormat="1" ht="16.5" customHeight="1" spans="1:26">
      <c r="A41" s="6">
        <v>7</v>
      </c>
      <c r="B41" s="6">
        <v>38</v>
      </c>
      <c r="C41" s="18" t="s">
        <v>27</v>
      </c>
      <c r="D41" s="19">
        <v>703126.57</v>
      </c>
      <c r="E41" s="19"/>
      <c r="F41" s="19"/>
      <c r="G41" s="19"/>
      <c r="H41" s="20">
        <v>703126.57</v>
      </c>
      <c r="I41" s="20"/>
      <c r="J41" s="20"/>
      <c r="K41" s="20">
        <f>H41*0.1078</f>
        <v>75797.044246</v>
      </c>
      <c r="L41" s="20">
        <f>H41*0.1076</f>
        <v>75656.418932</v>
      </c>
      <c r="M41" s="20">
        <f>H41*0.1842</f>
        <v>129515.914194</v>
      </c>
      <c r="N41" s="20">
        <f>H41*0.131</f>
        <v>92109.58067</v>
      </c>
      <c r="O41" s="20">
        <f>H41*0.11022</f>
        <v>77498.6105454</v>
      </c>
      <c r="P41" s="26">
        <f>H41*0.132</f>
        <v>92812.70724</v>
      </c>
      <c r="Q41" s="26">
        <f>H41*0.1176</f>
        <v>82687.684632</v>
      </c>
      <c r="R41" s="26">
        <f>H41-K41-L41-M41-N41-O41-P41-Q41</f>
        <v>77048.6095405999</v>
      </c>
      <c r="S41" s="26">
        <f>SUM(I41:R41)</f>
        <v>703126.57</v>
      </c>
      <c r="T41" s="24" t="e">
        <f>SUM(#REF!)</f>
        <v>#REF!</v>
      </c>
      <c r="U41" s="32">
        <f>B41+17</f>
        <v>55</v>
      </c>
      <c r="V41" s="11">
        <v>33</v>
      </c>
      <c r="W41" s="11"/>
      <c r="X41" s="11">
        <v>7</v>
      </c>
      <c r="Y41" s="11"/>
      <c r="Z41" s="11"/>
    </row>
    <row r="42" s="14" customFormat="1" ht="16.5" customHeight="1" spans="1:26">
      <c r="A42" s="6">
        <v>7</v>
      </c>
      <c r="B42" s="6">
        <v>94</v>
      </c>
      <c r="C42" s="18" t="s">
        <v>28</v>
      </c>
      <c r="D42" s="19"/>
      <c r="E42" s="19">
        <v>877085.85</v>
      </c>
      <c r="F42" s="19"/>
      <c r="G42" s="19"/>
      <c r="H42" s="20">
        <v>877085.85</v>
      </c>
      <c r="I42" s="20"/>
      <c r="J42" s="20"/>
      <c r="K42" s="20">
        <f t="shared" ref="K42:K44" si="25">H42*0.1078</f>
        <v>94549.85463</v>
      </c>
      <c r="L42" s="20">
        <f t="shared" ref="L42:L50" si="26">H42*0.1076</f>
        <v>94374.43746</v>
      </c>
      <c r="M42" s="20">
        <f t="shared" ref="M42:M50" si="27">H42*0.1842</f>
        <v>161559.21357</v>
      </c>
      <c r="N42" s="20">
        <f t="shared" ref="N42:N50" si="28">H42*0.131</f>
        <v>114898.24635</v>
      </c>
      <c r="O42" s="20">
        <f t="shared" ref="O42:O44" si="29">H42*0.11022</f>
        <v>96672.402387</v>
      </c>
      <c r="P42" s="26">
        <f t="shared" ref="P42:P50" si="30">H42*0.132</f>
        <v>115775.3322</v>
      </c>
      <c r="Q42" s="26">
        <f t="shared" ref="Q42:Q50" si="31">H42*0.1176</f>
        <v>103145.29596</v>
      </c>
      <c r="R42" s="26">
        <f t="shared" ref="R42:R50" si="32">H42-K42-L42-M42-N42-O42-P42-Q42</f>
        <v>96111.0674429999</v>
      </c>
      <c r="S42" s="26">
        <f>SUM(I42:R42)</f>
        <v>877085.85</v>
      </c>
      <c r="T42" s="24" t="e">
        <f>SUM(#REF!)</f>
        <v>#REF!</v>
      </c>
      <c r="U42" s="32">
        <f>B42+17</f>
        <v>111</v>
      </c>
      <c r="V42" s="11">
        <v>34</v>
      </c>
      <c r="W42" s="11">
        <v>7</v>
      </c>
      <c r="X42" s="11"/>
      <c r="Y42" s="11"/>
      <c r="Z42" s="11"/>
    </row>
    <row r="43" s="14" customFormat="1" ht="16.5" customHeight="1" spans="1:26">
      <c r="A43" s="6">
        <v>7</v>
      </c>
      <c r="B43" s="6">
        <v>83</v>
      </c>
      <c r="C43" s="18" t="s">
        <v>29</v>
      </c>
      <c r="D43" s="19"/>
      <c r="E43" s="19"/>
      <c r="F43" s="19">
        <v>166089.57</v>
      </c>
      <c r="G43" s="19"/>
      <c r="H43" s="20">
        <v>166089.57</v>
      </c>
      <c r="I43" s="20"/>
      <c r="J43" s="20"/>
      <c r="K43" s="20">
        <f>H43*0.1078</f>
        <v>17904.455646</v>
      </c>
      <c r="L43" s="20">
        <f>H43*0.1076</f>
        <v>17871.237732</v>
      </c>
      <c r="M43" s="20">
        <f>H43*0.1842</f>
        <v>30593.698794</v>
      </c>
      <c r="N43" s="20">
        <f>H43*0.131</f>
        <v>21757.73367</v>
      </c>
      <c r="O43" s="20">
        <f>H43*0.11022</f>
        <v>18306.3924054</v>
      </c>
      <c r="P43" s="26">
        <f>H43*0.132</f>
        <v>21923.82324</v>
      </c>
      <c r="Q43" s="26">
        <f>H43*0.1176</f>
        <v>19532.133432</v>
      </c>
      <c r="R43" s="26">
        <f>H43-K43-L43-M43-N43-O43-P43-Q43</f>
        <v>18200.0950806</v>
      </c>
      <c r="S43" s="26">
        <f>SUM(I43:R43)</f>
        <v>166089.57</v>
      </c>
      <c r="T43" s="24" t="e">
        <f>SUM(#REF!)</f>
        <v>#REF!</v>
      </c>
      <c r="U43" s="32">
        <f>B43+17</f>
        <v>100</v>
      </c>
      <c r="V43" s="11">
        <v>35</v>
      </c>
      <c r="W43" s="11"/>
      <c r="X43" s="11"/>
      <c r="Y43" s="11">
        <v>7</v>
      </c>
      <c r="Z43" s="11"/>
    </row>
    <row r="44" s="14" customFormat="1" ht="16.5" customHeight="1" spans="1:26">
      <c r="A44" s="6">
        <v>7</v>
      </c>
      <c r="B44" s="6">
        <v>79</v>
      </c>
      <c r="C44" s="18" t="s">
        <v>30</v>
      </c>
      <c r="D44" s="19"/>
      <c r="E44" s="19"/>
      <c r="F44" s="19"/>
      <c r="G44" s="19">
        <v>6344.25</v>
      </c>
      <c r="H44" s="20">
        <v>6344.25</v>
      </c>
      <c r="I44" s="20"/>
      <c r="J44" s="20"/>
      <c r="K44" s="20">
        <f>H44*0.1078</f>
        <v>683.91015</v>
      </c>
      <c r="L44" s="20">
        <f>H44*0.1076</f>
        <v>682.6413</v>
      </c>
      <c r="M44" s="20">
        <f>H44*0.1842</f>
        <v>1168.61085</v>
      </c>
      <c r="N44" s="20">
        <f>H44*0.131</f>
        <v>831.09675</v>
      </c>
      <c r="O44" s="20">
        <f>H44*0.11022</f>
        <v>699.263235</v>
      </c>
      <c r="P44" s="26">
        <f>H44*0.132</f>
        <v>837.441</v>
      </c>
      <c r="Q44" s="26">
        <f>H44*0.1176</f>
        <v>746.0838</v>
      </c>
      <c r="R44" s="26">
        <f>H44-K44-L44-M44-N44-O44-P44-Q44</f>
        <v>695.202915</v>
      </c>
      <c r="S44" s="26">
        <f>SUM(I44:R44)</f>
        <v>6344.25</v>
      </c>
      <c r="T44" s="24" t="e">
        <f>SUM(#REF!)</f>
        <v>#REF!</v>
      </c>
      <c r="U44" s="32">
        <f>B44+17</f>
        <v>96</v>
      </c>
      <c r="V44" s="11">
        <v>36</v>
      </c>
      <c r="W44" s="11"/>
      <c r="X44" s="11"/>
      <c r="Y44" s="11"/>
      <c r="Z44" s="11">
        <v>3</v>
      </c>
    </row>
    <row r="45" s="9" customFormat="1" ht="16.5" customHeight="1" spans="1:26">
      <c r="A45" s="21"/>
      <c r="B45" s="6"/>
      <c r="C45" s="5" t="s">
        <v>31</v>
      </c>
      <c r="D45" s="22">
        <v>703126.57</v>
      </c>
      <c r="E45" s="22">
        <v>877085.85</v>
      </c>
      <c r="F45" s="22">
        <v>166089.57</v>
      </c>
      <c r="G45" s="22">
        <v>6344.25</v>
      </c>
      <c r="H45" s="23">
        <v>1752646.24</v>
      </c>
      <c r="I45" s="20"/>
      <c r="J45" s="20"/>
      <c r="K45" s="20"/>
      <c r="L45" s="20"/>
      <c r="M45" s="20"/>
      <c r="N45" s="20"/>
      <c r="O45" s="20"/>
      <c r="P45" s="26"/>
      <c r="Q45" s="26"/>
      <c r="R45" s="26"/>
      <c r="S45" s="26"/>
      <c r="T45" s="24" t="e">
        <f>SUM(#REF!)</f>
        <v>#REF!</v>
      </c>
      <c r="U45" s="32">
        <f>B45+17</f>
        <v>17</v>
      </c>
      <c r="V45" s="11">
        <v>37</v>
      </c>
      <c r="W45" s="10"/>
      <c r="X45" s="10"/>
      <c r="Y45" s="10"/>
      <c r="Z45" s="10"/>
    </row>
    <row r="46" s="9" customFormat="1" ht="16.5" customHeight="1" spans="1:26">
      <c r="A46" s="21"/>
      <c r="B46" s="6"/>
      <c r="C46" s="5" t="s">
        <v>32</v>
      </c>
      <c r="D46" s="22">
        <v>4866119.76</v>
      </c>
      <c r="E46" s="22">
        <v>6112128.54</v>
      </c>
      <c r="F46" s="22">
        <v>1111411.75</v>
      </c>
      <c r="G46" s="22">
        <v>44270.73</v>
      </c>
      <c r="H46" s="23">
        <v>12133930.78</v>
      </c>
      <c r="I46" s="20"/>
      <c r="J46" s="20"/>
      <c r="K46" s="20"/>
      <c r="L46" s="20"/>
      <c r="M46" s="20"/>
      <c r="N46" s="20"/>
      <c r="O46" s="20"/>
      <c r="P46" s="26"/>
      <c r="Q46" s="26"/>
      <c r="R46" s="26"/>
      <c r="S46" s="26"/>
      <c r="T46" s="24" t="e">
        <f>SUM(#REF!)</f>
        <v>#REF!</v>
      </c>
      <c r="U46" s="32">
        <f>B46+17</f>
        <v>17</v>
      </c>
      <c r="V46" s="11">
        <v>38</v>
      </c>
      <c r="W46" s="10"/>
      <c r="X46" s="10"/>
      <c r="Y46" s="10"/>
      <c r="Z46" s="10"/>
    </row>
    <row r="47" s="14" customFormat="1" ht="16.5" customHeight="1" spans="1:26">
      <c r="A47" s="6">
        <v>8</v>
      </c>
      <c r="B47" s="6">
        <v>44</v>
      </c>
      <c r="C47" s="18" t="s">
        <v>27</v>
      </c>
      <c r="D47" s="19">
        <v>684374.85</v>
      </c>
      <c r="E47" s="19"/>
      <c r="F47" s="19"/>
      <c r="G47" s="19"/>
      <c r="H47" s="20">
        <v>684374.85</v>
      </c>
      <c r="I47" s="20"/>
      <c r="J47" s="20"/>
      <c r="K47" s="20"/>
      <c r="L47" s="20">
        <f>H47*0.1076</f>
        <v>73638.73386</v>
      </c>
      <c r="M47" s="20">
        <f>H47*0.1842</f>
        <v>126061.84737</v>
      </c>
      <c r="N47" s="20">
        <f>H47*0.131</f>
        <v>89653.10535</v>
      </c>
      <c r="O47" s="20">
        <f t="shared" ref="O47:O50" si="33">H47*0.14022</f>
        <v>95963.041467</v>
      </c>
      <c r="P47" s="26">
        <f>H47*0.132</f>
        <v>90337.4802</v>
      </c>
      <c r="Q47" s="26">
        <f>H47*0.1176</f>
        <v>80482.48236</v>
      </c>
      <c r="R47" s="26">
        <f>H47-K47-L47-M47-N47-O47-P47-Q47</f>
        <v>128238.159393</v>
      </c>
      <c r="S47" s="26">
        <f>SUM(I47:R47)</f>
        <v>684374.85</v>
      </c>
      <c r="T47" s="24" t="e">
        <f>SUM(#REF!)</f>
        <v>#REF!</v>
      </c>
      <c r="U47" s="32">
        <f>B47+17</f>
        <v>61</v>
      </c>
      <c r="V47" s="11">
        <v>39</v>
      </c>
      <c r="W47" s="11"/>
      <c r="X47" s="11">
        <v>8</v>
      </c>
      <c r="Y47" s="11"/>
      <c r="Z47" s="11"/>
    </row>
    <row r="48" s="14" customFormat="1" ht="16.5" customHeight="1" spans="1:26">
      <c r="A48" s="6">
        <v>8</v>
      </c>
      <c r="B48" s="6">
        <v>81</v>
      </c>
      <c r="C48" s="18" t="s">
        <v>28</v>
      </c>
      <c r="D48" s="19"/>
      <c r="E48" s="19">
        <v>844588.94</v>
      </c>
      <c r="F48" s="19"/>
      <c r="G48" s="19"/>
      <c r="H48" s="20">
        <v>844588.94</v>
      </c>
      <c r="I48" s="20"/>
      <c r="J48" s="20"/>
      <c r="K48" s="20"/>
      <c r="L48" s="20">
        <f>H48*0.1076</f>
        <v>90877.769944</v>
      </c>
      <c r="M48" s="20">
        <f>H48*0.1842</f>
        <v>155573.282748</v>
      </c>
      <c r="N48" s="20">
        <f>H48*0.131</f>
        <v>110641.15114</v>
      </c>
      <c r="O48" s="20">
        <f>H48*0.14022</f>
        <v>118428.2611668</v>
      </c>
      <c r="P48" s="26">
        <f>H48*0.132</f>
        <v>111485.74008</v>
      </c>
      <c r="Q48" s="26">
        <f>H48*0.1176</f>
        <v>99323.659344</v>
      </c>
      <c r="R48" s="26">
        <f>H48-K48-L48-M48-N48-O48-P48-Q48</f>
        <v>158259.0755772</v>
      </c>
      <c r="S48" s="26">
        <f>SUM(I48:R48)</f>
        <v>844588.94</v>
      </c>
      <c r="T48" s="24" t="e">
        <f>SUM(#REF!)</f>
        <v>#REF!</v>
      </c>
      <c r="U48" s="32">
        <f>B48+17</f>
        <v>98</v>
      </c>
      <c r="V48" s="11">
        <v>40</v>
      </c>
      <c r="W48" s="11">
        <v>8</v>
      </c>
      <c r="X48" s="11"/>
      <c r="Y48" s="11"/>
      <c r="Z48" s="11"/>
    </row>
    <row r="49" s="14" customFormat="1" ht="16.5" customHeight="1" spans="1:26">
      <c r="A49" s="6">
        <v>8</v>
      </c>
      <c r="B49" s="6">
        <v>50</v>
      </c>
      <c r="C49" s="18" t="s">
        <v>29</v>
      </c>
      <c r="D49" s="19"/>
      <c r="E49" s="19"/>
      <c r="F49" s="19">
        <v>162737.09</v>
      </c>
      <c r="G49" s="19"/>
      <c r="H49" s="20">
        <v>162737.09</v>
      </c>
      <c r="I49" s="20"/>
      <c r="J49" s="20"/>
      <c r="K49" s="20"/>
      <c r="L49" s="20">
        <f>H49*0.1076</f>
        <v>17510.510884</v>
      </c>
      <c r="M49" s="20">
        <f>H49*0.1842</f>
        <v>29976.171978</v>
      </c>
      <c r="N49" s="20">
        <f>H49*0.131</f>
        <v>21318.55879</v>
      </c>
      <c r="O49" s="20">
        <f>H49*0.14022</f>
        <v>22818.9947598</v>
      </c>
      <c r="P49" s="26">
        <f>H49*0.132</f>
        <v>21481.29588</v>
      </c>
      <c r="Q49" s="26">
        <f>H49*0.1176</f>
        <v>19137.881784</v>
      </c>
      <c r="R49" s="26">
        <f>H49-K49-L49-M49-N49-O49-P49-Q49</f>
        <v>30493.6759242</v>
      </c>
      <c r="S49" s="26">
        <f>SUM(I49:R49)</f>
        <v>162737.09</v>
      </c>
      <c r="T49" s="24" t="e">
        <f>SUM(#REF!)</f>
        <v>#REF!</v>
      </c>
      <c r="U49" s="32">
        <f>B49+17</f>
        <v>67</v>
      </c>
      <c r="V49" s="11">
        <v>41</v>
      </c>
      <c r="W49" s="11"/>
      <c r="X49" s="11"/>
      <c r="Y49" s="11">
        <v>8</v>
      </c>
      <c r="Z49" s="11"/>
    </row>
    <row r="50" s="14" customFormat="1" ht="16.5" customHeight="1" spans="1:26">
      <c r="A50" s="6">
        <v>8</v>
      </c>
      <c r="B50" s="6">
        <v>17</v>
      </c>
      <c r="C50" s="18" t="s">
        <v>30</v>
      </c>
      <c r="D50" s="19"/>
      <c r="E50" s="19"/>
      <c r="F50" s="19"/>
      <c r="G50" s="19">
        <v>6190.84</v>
      </c>
      <c r="H50" s="20">
        <v>6190.84</v>
      </c>
      <c r="I50" s="20"/>
      <c r="J50" s="20"/>
      <c r="K50" s="20"/>
      <c r="L50" s="20">
        <f>H50*0.1076</f>
        <v>666.134384</v>
      </c>
      <c r="M50" s="20">
        <f>H50*0.1842</f>
        <v>1140.352728</v>
      </c>
      <c r="N50" s="20">
        <f>H50*0.131</f>
        <v>811.00004</v>
      </c>
      <c r="O50" s="20">
        <f>H50*0.14022</f>
        <v>868.0795848</v>
      </c>
      <c r="P50" s="26">
        <f>H50*0.132</f>
        <v>817.19088</v>
      </c>
      <c r="Q50" s="26">
        <f>H50*0.1176</f>
        <v>728.042784</v>
      </c>
      <c r="R50" s="26">
        <f>H50-K50-L50-M50-N50-O50-P50-Q50</f>
        <v>1160.0395992</v>
      </c>
      <c r="S50" s="26">
        <f>SUM(I50:R50)</f>
        <v>6190.84</v>
      </c>
      <c r="T50" s="24"/>
      <c r="U50" s="32">
        <f>B50+17</f>
        <v>34</v>
      </c>
      <c r="V50" s="11"/>
      <c r="W50" s="11"/>
      <c r="X50" s="11"/>
      <c r="Y50" s="11"/>
      <c r="Z50" s="11"/>
    </row>
    <row r="51" s="9" customFormat="1" ht="16.5" customHeight="1" spans="1:26">
      <c r="A51" s="21"/>
      <c r="B51" s="6"/>
      <c r="C51" s="5" t="s">
        <v>31</v>
      </c>
      <c r="D51" s="22">
        <v>684374.85</v>
      </c>
      <c r="E51" s="22">
        <v>844588.94</v>
      </c>
      <c r="F51" s="22">
        <v>162737.09</v>
      </c>
      <c r="G51" s="22">
        <v>6190.84</v>
      </c>
      <c r="H51" s="22">
        <v>1697891.72</v>
      </c>
      <c r="I51" s="20"/>
      <c r="J51" s="20"/>
      <c r="K51" s="20"/>
      <c r="L51" s="20"/>
      <c r="M51" s="20"/>
      <c r="N51" s="20"/>
      <c r="O51" s="20"/>
      <c r="P51" s="26"/>
      <c r="Q51" s="26"/>
      <c r="R51" s="26"/>
      <c r="S51" s="26"/>
      <c r="T51" s="24" t="e">
        <f>SUM(#REF!)</f>
        <v>#REF!</v>
      </c>
      <c r="U51" s="32">
        <f>B51+17</f>
        <v>17</v>
      </c>
      <c r="V51" s="11">
        <v>42</v>
      </c>
      <c r="W51" s="11"/>
      <c r="X51" s="10"/>
      <c r="Y51" s="10"/>
      <c r="Z51" s="10"/>
    </row>
    <row r="52" s="9" customFormat="1" ht="16.5" customHeight="1" spans="1:26">
      <c r="A52" s="21"/>
      <c r="B52" s="6"/>
      <c r="C52" s="5" t="s">
        <v>32</v>
      </c>
      <c r="D52" s="22">
        <v>5550494.61</v>
      </c>
      <c r="E52" s="22">
        <v>6956717.48</v>
      </c>
      <c r="F52" s="22">
        <v>1274148.84</v>
      </c>
      <c r="G52" s="22">
        <v>50461.57</v>
      </c>
      <c r="H52" s="23">
        <v>13831822.5</v>
      </c>
      <c r="I52" s="20"/>
      <c r="J52" s="20"/>
      <c r="K52" s="20"/>
      <c r="L52" s="20"/>
      <c r="M52" s="20"/>
      <c r="N52" s="20"/>
      <c r="O52" s="20"/>
      <c r="P52" s="26"/>
      <c r="Q52" s="26"/>
      <c r="R52" s="26"/>
      <c r="S52" s="26"/>
      <c r="T52" s="24" t="e">
        <f>SUM(#REF!)</f>
        <v>#REF!</v>
      </c>
      <c r="U52" s="32">
        <f>B52+17</f>
        <v>17</v>
      </c>
      <c r="V52" s="11">
        <v>43</v>
      </c>
      <c r="W52" s="11"/>
      <c r="X52" s="10"/>
      <c r="Y52" s="10"/>
      <c r="Z52" s="10"/>
    </row>
    <row r="53" s="9" customFormat="1" ht="16.5" customHeight="1" spans="1:26">
      <c r="A53" s="6">
        <v>9</v>
      </c>
      <c r="B53" s="6">
        <v>48</v>
      </c>
      <c r="C53" s="18" t="s">
        <v>27</v>
      </c>
      <c r="D53" s="19">
        <v>699130.53</v>
      </c>
      <c r="E53" s="19"/>
      <c r="F53" s="19"/>
      <c r="G53" s="19"/>
      <c r="H53" s="20">
        <v>699130.53</v>
      </c>
      <c r="I53" s="20"/>
      <c r="J53" s="20"/>
      <c r="K53" s="20"/>
      <c r="L53" s="20"/>
      <c r="M53" s="20">
        <f t="shared" ref="M53:M56" si="34">H53*0.1442</f>
        <v>100814.622426</v>
      </c>
      <c r="N53" s="20">
        <f t="shared" ref="N53:N56" si="35">H53*0.131</f>
        <v>91586.09943</v>
      </c>
      <c r="O53" s="20">
        <f t="shared" ref="O53:O56" si="36">H53*0.19022</f>
        <v>132988.6094166</v>
      </c>
      <c r="P53" s="26">
        <f t="shared" ref="P53:P56" si="37">H53*0.15113</f>
        <v>105659.5969989</v>
      </c>
      <c r="Q53" s="26">
        <f t="shared" ref="Q53:Q56" si="38">H53*0.1478</f>
        <v>103331.492334</v>
      </c>
      <c r="R53" s="26">
        <f t="shared" ref="R53:R56" si="39">H53-M53-N53-O53-P53-Q53</f>
        <v>164750.1093945</v>
      </c>
      <c r="S53" s="26">
        <f>SUM(I53:R53)</f>
        <v>699130.53</v>
      </c>
      <c r="T53" s="24" t="e">
        <f>SUM(#REF!)</f>
        <v>#REF!</v>
      </c>
      <c r="U53" s="32">
        <f>B53+17</f>
        <v>65</v>
      </c>
      <c r="V53" s="11">
        <v>44</v>
      </c>
      <c r="W53" s="11"/>
      <c r="X53" s="11">
        <v>9</v>
      </c>
      <c r="Y53" s="10"/>
      <c r="Z53" s="10"/>
    </row>
    <row r="54" s="9" customFormat="1" ht="16.5" customHeight="1" spans="1:26">
      <c r="A54" s="6">
        <v>9</v>
      </c>
      <c r="B54" s="6">
        <v>91</v>
      </c>
      <c r="C54" s="18" t="s">
        <v>28</v>
      </c>
      <c r="D54" s="19"/>
      <c r="E54" s="19">
        <v>904480.79</v>
      </c>
      <c r="F54" s="19"/>
      <c r="G54" s="19"/>
      <c r="H54" s="20">
        <v>904480.79</v>
      </c>
      <c r="I54" s="20"/>
      <c r="J54" s="20"/>
      <c r="K54" s="20"/>
      <c r="L54" s="20"/>
      <c r="M54" s="20">
        <f>H54*0.1442</f>
        <v>130426.129918</v>
      </c>
      <c r="N54" s="20">
        <f>H54*0.131</f>
        <v>118486.98349</v>
      </c>
      <c r="O54" s="20">
        <f>H54*0.19022</f>
        <v>172050.3358738</v>
      </c>
      <c r="P54" s="26">
        <f>H54*0.15113</f>
        <v>136694.1817927</v>
      </c>
      <c r="Q54" s="26">
        <f>H54*0.1478</f>
        <v>133682.260762</v>
      </c>
      <c r="R54" s="26">
        <f>H54-M54-N54-O54-P54-Q54</f>
        <v>213140.8981635</v>
      </c>
      <c r="S54" s="26">
        <f>SUM(I54:R54)</f>
        <v>904480.79</v>
      </c>
      <c r="T54" s="24" t="e">
        <f>SUM(#REF!)</f>
        <v>#REF!</v>
      </c>
      <c r="U54" s="32">
        <f>B54+17</f>
        <v>108</v>
      </c>
      <c r="V54" s="11">
        <v>45</v>
      </c>
      <c r="W54" s="11">
        <v>9</v>
      </c>
      <c r="X54" s="10"/>
      <c r="Y54" s="10"/>
      <c r="Z54" s="10"/>
    </row>
    <row r="55" s="9" customFormat="1" ht="16.5" customHeight="1" spans="1:26">
      <c r="A55" s="6">
        <v>9</v>
      </c>
      <c r="B55" s="6">
        <v>60</v>
      </c>
      <c r="C55" s="18" t="s">
        <v>29</v>
      </c>
      <c r="D55" s="19"/>
      <c r="E55" s="19"/>
      <c r="F55" s="19">
        <v>158990.11</v>
      </c>
      <c r="G55" s="19"/>
      <c r="H55" s="20">
        <v>158990.11</v>
      </c>
      <c r="I55" s="20"/>
      <c r="J55" s="20"/>
      <c r="K55" s="20"/>
      <c r="L55" s="20"/>
      <c r="M55" s="20">
        <f>H55*0.1442</f>
        <v>22926.373862</v>
      </c>
      <c r="N55" s="20">
        <f>H55*0.131</f>
        <v>20827.70441</v>
      </c>
      <c r="O55" s="20">
        <f>H55*0.19022</f>
        <v>30243.0987242</v>
      </c>
      <c r="P55" s="26">
        <f>H55*0.15113</f>
        <v>24028.1753243</v>
      </c>
      <c r="Q55" s="26">
        <f>H55*0.1478</f>
        <v>23498.738258</v>
      </c>
      <c r="R55" s="26">
        <f>H55-M55-N55-O55-P55-Q55</f>
        <v>37466.0194215</v>
      </c>
      <c r="S55" s="26">
        <f>SUM(I55:R55)</f>
        <v>158990.11</v>
      </c>
      <c r="T55" s="24" t="e">
        <f>SUM(#REF!)</f>
        <v>#REF!</v>
      </c>
      <c r="U55" s="32">
        <f>B55+17</f>
        <v>77</v>
      </c>
      <c r="V55" s="11">
        <v>46</v>
      </c>
      <c r="W55" s="11"/>
      <c r="X55" s="10"/>
      <c r="Y55" s="10">
        <v>9</v>
      </c>
      <c r="Z55" s="11"/>
    </row>
    <row r="56" s="9" customFormat="1" ht="16.5" customHeight="1" spans="1:26">
      <c r="A56" s="6">
        <v>9</v>
      </c>
      <c r="B56" s="6">
        <v>62</v>
      </c>
      <c r="C56" s="18" t="s">
        <v>30</v>
      </c>
      <c r="D56" s="19"/>
      <c r="E56" s="19"/>
      <c r="F56" s="19"/>
      <c r="G56" s="19">
        <v>6306.3</v>
      </c>
      <c r="H56" s="20">
        <v>6306.3</v>
      </c>
      <c r="I56" s="20"/>
      <c r="J56" s="20"/>
      <c r="K56" s="20"/>
      <c r="L56" s="20"/>
      <c r="M56" s="20">
        <f>H56*0.1442</f>
        <v>909.36846</v>
      </c>
      <c r="N56" s="20">
        <f>H56*0.131</f>
        <v>826.1253</v>
      </c>
      <c r="O56" s="20">
        <f>H56*0.19022</f>
        <v>1199.584386</v>
      </c>
      <c r="P56" s="26">
        <f>H56*0.15113</f>
        <v>953.071119</v>
      </c>
      <c r="Q56" s="26">
        <f>H56*0.1478</f>
        <v>932.07114</v>
      </c>
      <c r="R56" s="26">
        <f>H56-M56-N56-O56-P56-Q56</f>
        <v>1486.079595</v>
      </c>
      <c r="S56" s="26">
        <f>SUM(I56:R56)</f>
        <v>6306.3</v>
      </c>
      <c r="T56" s="24" t="e">
        <f>SUM(#REF!)</f>
        <v>#REF!</v>
      </c>
      <c r="U56" s="32">
        <f>B56+17</f>
        <v>79</v>
      </c>
      <c r="V56" s="11">
        <v>47</v>
      </c>
      <c r="W56" s="10"/>
      <c r="X56" s="10"/>
      <c r="Y56" s="11"/>
      <c r="Z56" s="10">
        <v>4</v>
      </c>
    </row>
    <row r="57" s="9" customFormat="1" ht="16.5" customHeight="1" spans="1:26">
      <c r="A57" s="21"/>
      <c r="B57" s="6"/>
      <c r="C57" s="5" t="s">
        <v>31</v>
      </c>
      <c r="D57" s="22">
        <v>699130.53</v>
      </c>
      <c r="E57" s="22">
        <v>904480.79</v>
      </c>
      <c r="F57" s="22">
        <v>158990.11</v>
      </c>
      <c r="G57" s="22">
        <v>6306.3</v>
      </c>
      <c r="H57" s="23">
        <v>1768907.73</v>
      </c>
      <c r="I57" s="20"/>
      <c r="J57" s="20"/>
      <c r="K57" s="20"/>
      <c r="L57" s="20"/>
      <c r="M57" s="20"/>
      <c r="N57" s="20"/>
      <c r="O57" s="20"/>
      <c r="P57" s="26"/>
      <c r="Q57" s="26"/>
      <c r="R57" s="26"/>
      <c r="S57" s="26"/>
      <c r="T57" s="24" t="e">
        <f>SUM(#REF!)</f>
        <v>#REF!</v>
      </c>
      <c r="U57" s="32">
        <f>B57+17</f>
        <v>17</v>
      </c>
      <c r="V57" s="11">
        <v>48</v>
      </c>
      <c r="W57" s="10"/>
      <c r="X57" s="10"/>
      <c r="Y57" s="10"/>
      <c r="Z57" s="10"/>
    </row>
    <row r="58" s="9" customFormat="1" ht="16.5" customHeight="1" spans="1:26">
      <c r="A58" s="21"/>
      <c r="B58" s="6"/>
      <c r="C58" s="5" t="s">
        <v>32</v>
      </c>
      <c r="D58" s="22">
        <v>6249625.14</v>
      </c>
      <c r="E58" s="22">
        <v>7861198.27</v>
      </c>
      <c r="F58" s="22">
        <v>1433138.95</v>
      </c>
      <c r="G58" s="22">
        <v>56767.87</v>
      </c>
      <c r="H58" s="23">
        <v>15600730.23</v>
      </c>
      <c r="I58" s="20"/>
      <c r="J58" s="20"/>
      <c r="K58" s="20"/>
      <c r="L58" s="20"/>
      <c r="M58" s="20"/>
      <c r="N58" s="20"/>
      <c r="O58" s="20"/>
      <c r="P58" s="26"/>
      <c r="Q58" s="26"/>
      <c r="R58" s="26"/>
      <c r="S58" s="26"/>
      <c r="T58" s="24" t="e">
        <f>SUM(#REF!)</f>
        <v>#REF!</v>
      </c>
      <c r="U58" s="32">
        <f>B58+17</f>
        <v>17</v>
      </c>
      <c r="V58" s="11">
        <v>49</v>
      </c>
      <c r="W58" s="10"/>
      <c r="X58" s="10"/>
      <c r="Y58" s="10"/>
      <c r="Z58" s="10"/>
    </row>
    <row r="59" s="14" customFormat="1" ht="16.5" customHeight="1" spans="1:26">
      <c r="A59" s="6">
        <v>10</v>
      </c>
      <c r="B59" s="6">
        <v>29</v>
      </c>
      <c r="C59" s="18" t="s">
        <v>27</v>
      </c>
      <c r="D59" s="19">
        <v>682025.08</v>
      </c>
      <c r="E59" s="24"/>
      <c r="F59" s="24"/>
      <c r="G59" s="24"/>
      <c r="H59" s="20">
        <v>682025.08</v>
      </c>
      <c r="I59" s="20"/>
      <c r="J59" s="20"/>
      <c r="K59" s="20"/>
      <c r="L59" s="20"/>
      <c r="M59" s="20"/>
      <c r="N59" s="20">
        <f t="shared" ref="N59:N62" si="40">H59*0.181</f>
        <v>123446.53948</v>
      </c>
      <c r="O59" s="20">
        <f t="shared" ref="O59:O62" si="41">H59*0.19022</f>
        <v>129734.8107176</v>
      </c>
      <c r="P59" s="26">
        <f t="shared" ref="P59:P62" si="42">H59*0.19113</f>
        <v>130355.4535404</v>
      </c>
      <c r="Q59" s="26">
        <f t="shared" ref="Q59:Q62" si="43">H59*0.1978</f>
        <v>134904.560824</v>
      </c>
      <c r="R59" s="26">
        <f t="shared" ref="R59:R62" si="44">H59-N59-O59-P59-Q59</f>
        <v>163583.715438</v>
      </c>
      <c r="S59" s="26">
        <f>SUM(I59:R59)</f>
        <v>682025.08</v>
      </c>
      <c r="T59" s="24" t="e">
        <f>SUM(#REF!)</f>
        <v>#REF!</v>
      </c>
      <c r="U59" s="32">
        <f>B59+17</f>
        <v>46</v>
      </c>
      <c r="V59" s="11">
        <v>50</v>
      </c>
      <c r="W59" s="11"/>
      <c r="X59" s="11">
        <v>10</v>
      </c>
      <c r="Y59" s="11"/>
      <c r="Z59" s="11"/>
    </row>
    <row r="60" s="14" customFormat="1" ht="16.5" customHeight="1" spans="1:26">
      <c r="A60" s="6">
        <v>10</v>
      </c>
      <c r="B60" s="6">
        <v>68</v>
      </c>
      <c r="C60" s="18" t="s">
        <v>28</v>
      </c>
      <c r="D60" s="19"/>
      <c r="E60" s="19">
        <v>855060.44</v>
      </c>
      <c r="F60" s="24"/>
      <c r="G60" s="24"/>
      <c r="H60" s="20">
        <v>855060.44</v>
      </c>
      <c r="I60" s="20"/>
      <c r="J60" s="20"/>
      <c r="K60" s="20"/>
      <c r="L60" s="20"/>
      <c r="M60" s="20"/>
      <c r="N60" s="20">
        <f>H60*0.181</f>
        <v>154765.93964</v>
      </c>
      <c r="O60" s="20">
        <f>H60*0.19022</f>
        <v>162649.5968968</v>
      </c>
      <c r="P60" s="26">
        <f>H60*0.19113</f>
        <v>163427.7018972</v>
      </c>
      <c r="Q60" s="26">
        <f>H60*0.1978</f>
        <v>169130.955032</v>
      </c>
      <c r="R60" s="26">
        <f>H60-N60-O60-P60-Q60</f>
        <v>205086.246534</v>
      </c>
      <c r="S60" s="26">
        <f>SUM(I60:R60)</f>
        <v>855060.44</v>
      </c>
      <c r="T60" s="24" t="e">
        <f>SUM(#REF!)</f>
        <v>#REF!</v>
      </c>
      <c r="U60" s="32">
        <f>B60+17</f>
        <v>85</v>
      </c>
      <c r="V60" s="11">
        <v>51</v>
      </c>
      <c r="W60" s="11">
        <v>10</v>
      </c>
      <c r="X60" s="11"/>
      <c r="Y60" s="11"/>
      <c r="Z60" s="11"/>
    </row>
    <row r="61" s="14" customFormat="1" ht="16.5" customHeight="1" spans="1:26">
      <c r="A61" s="6">
        <v>10</v>
      </c>
      <c r="B61" s="6">
        <v>61</v>
      </c>
      <c r="C61" s="18" t="s">
        <v>29</v>
      </c>
      <c r="D61" s="19"/>
      <c r="E61" s="19"/>
      <c r="F61" s="19">
        <v>165715.26</v>
      </c>
      <c r="G61" s="24"/>
      <c r="H61" s="20">
        <v>165715.26</v>
      </c>
      <c r="I61" s="20"/>
      <c r="J61" s="20"/>
      <c r="K61" s="20"/>
      <c r="L61" s="20"/>
      <c r="M61" s="20"/>
      <c r="N61" s="20">
        <f>H61*0.181</f>
        <v>29994.46206</v>
      </c>
      <c r="O61" s="20">
        <f>H61*0.19022</f>
        <v>31522.3567572</v>
      </c>
      <c r="P61" s="26">
        <f>H61*0.19113</f>
        <v>31673.1576438</v>
      </c>
      <c r="Q61" s="26">
        <f>H61*0.1978</f>
        <v>32778.478428</v>
      </c>
      <c r="R61" s="26">
        <f>H61-N61-O61-P61-Q61</f>
        <v>39746.805111</v>
      </c>
      <c r="S61" s="26">
        <f>SUM(I61:R61)</f>
        <v>165715.26</v>
      </c>
      <c r="T61" s="24" t="e">
        <f>SUM(#REF!)</f>
        <v>#REF!</v>
      </c>
      <c r="U61" s="32">
        <f>B61+17</f>
        <v>78</v>
      </c>
      <c r="V61" s="11">
        <v>52</v>
      </c>
      <c r="W61" s="11"/>
      <c r="X61" s="11"/>
      <c r="Y61" s="11">
        <v>10</v>
      </c>
      <c r="Z61" s="11"/>
    </row>
    <row r="62" s="14" customFormat="1" ht="16.5" customHeight="1" spans="1:26">
      <c r="A62" s="6">
        <v>10</v>
      </c>
      <c r="B62" s="6">
        <v>49</v>
      </c>
      <c r="C62" s="18" t="s">
        <v>30</v>
      </c>
      <c r="D62" s="19"/>
      <c r="E62" s="24"/>
      <c r="F62" s="19"/>
      <c r="G62" s="19">
        <v>6282.05</v>
      </c>
      <c r="H62" s="20">
        <v>6282.05</v>
      </c>
      <c r="I62" s="20"/>
      <c r="J62" s="20"/>
      <c r="K62" s="20"/>
      <c r="L62" s="20"/>
      <c r="M62" s="20"/>
      <c r="N62" s="20">
        <f>H62*0.181</f>
        <v>1137.05105</v>
      </c>
      <c r="O62" s="20">
        <f>H62*0.19022</f>
        <v>1194.971551</v>
      </c>
      <c r="P62" s="26">
        <f>H62*0.19113</f>
        <v>1200.6882165</v>
      </c>
      <c r="Q62" s="26">
        <f>H62*0.1978</f>
        <v>1242.58949</v>
      </c>
      <c r="R62" s="26">
        <f>H62-N62-O62-P62-Q62</f>
        <v>1506.7496925</v>
      </c>
      <c r="S62" s="26">
        <f>SUM(I62:R62)</f>
        <v>6282.05</v>
      </c>
      <c r="T62" s="24" t="e">
        <f>SUM(#REF!)</f>
        <v>#REF!</v>
      </c>
      <c r="U62" s="32">
        <f>B62+17</f>
        <v>66</v>
      </c>
      <c r="V62" s="11">
        <v>53</v>
      </c>
      <c r="W62" s="11"/>
      <c r="X62" s="11"/>
      <c r="Y62" s="11"/>
      <c r="Z62" s="11">
        <v>5</v>
      </c>
    </row>
    <row r="63" s="10" customFormat="1" ht="16.5" customHeight="1" spans="1:22">
      <c r="A63" s="6"/>
      <c r="B63" s="6"/>
      <c r="C63" s="5" t="s">
        <v>31</v>
      </c>
      <c r="D63" s="22">
        <v>682025.08</v>
      </c>
      <c r="E63" s="22">
        <v>855060.44</v>
      </c>
      <c r="F63" s="22">
        <v>165715.26</v>
      </c>
      <c r="G63" s="22">
        <v>6282.05</v>
      </c>
      <c r="H63" s="23">
        <v>1709082.83</v>
      </c>
      <c r="I63" s="20"/>
      <c r="J63" s="20"/>
      <c r="K63" s="20"/>
      <c r="L63" s="20"/>
      <c r="M63" s="20"/>
      <c r="N63" s="20"/>
      <c r="O63" s="20"/>
      <c r="P63" s="26"/>
      <c r="Q63" s="26"/>
      <c r="R63" s="26"/>
      <c r="S63" s="26"/>
      <c r="T63" s="24" t="e">
        <f>SUM(#REF!)</f>
        <v>#REF!</v>
      </c>
      <c r="U63" s="32">
        <f>B63+17</f>
        <v>17</v>
      </c>
      <c r="V63" s="11">
        <v>54</v>
      </c>
    </row>
    <row r="64" s="10" customFormat="1" ht="16.5" customHeight="1" spans="1:22">
      <c r="A64" s="6"/>
      <c r="B64" s="6"/>
      <c r="C64" s="5" t="s">
        <v>32</v>
      </c>
      <c r="D64" s="22">
        <v>6931650.22</v>
      </c>
      <c r="E64" s="22">
        <v>8716258.71</v>
      </c>
      <c r="F64" s="22">
        <v>1598854.21</v>
      </c>
      <c r="G64" s="22">
        <v>63049.92</v>
      </c>
      <c r="H64" s="23">
        <v>17309813.06</v>
      </c>
      <c r="I64" s="20"/>
      <c r="J64" s="20"/>
      <c r="K64" s="20"/>
      <c r="L64" s="20"/>
      <c r="M64" s="20"/>
      <c r="N64" s="20"/>
      <c r="O64" s="20"/>
      <c r="P64" s="26"/>
      <c r="Q64" s="26"/>
      <c r="R64" s="26"/>
      <c r="S64" s="26"/>
      <c r="T64" s="24" t="e">
        <f>SUM(#REF!)</f>
        <v>#REF!</v>
      </c>
      <c r="U64" s="32">
        <f>B64+17</f>
        <v>17</v>
      </c>
      <c r="V64" s="11">
        <v>55</v>
      </c>
    </row>
    <row r="65" s="14" customFormat="1" ht="16.5" customHeight="1" spans="1:26">
      <c r="A65" s="6">
        <v>11</v>
      </c>
      <c r="B65" s="6">
        <v>41</v>
      </c>
      <c r="C65" s="18" t="s">
        <v>27</v>
      </c>
      <c r="D65" s="19">
        <v>648717.24</v>
      </c>
      <c r="E65" s="19"/>
      <c r="F65" s="19"/>
      <c r="G65" s="19"/>
      <c r="H65" s="20">
        <v>648717.24</v>
      </c>
      <c r="I65" s="20"/>
      <c r="J65" s="20"/>
      <c r="K65" s="20"/>
      <c r="L65" s="20"/>
      <c r="M65" s="20"/>
      <c r="N65" s="20"/>
      <c r="O65" s="20">
        <f t="shared" ref="O65:O68" si="45">H65*0.21</f>
        <v>136230.6204</v>
      </c>
      <c r="P65" s="26">
        <f t="shared" ref="P65:P68" si="46">H65*0.25113</f>
        <v>162912.3604812</v>
      </c>
      <c r="Q65" s="26">
        <f t="shared" ref="Q65:Q68" si="47">H65*0.2478</f>
        <v>160752.132072</v>
      </c>
      <c r="R65" s="26">
        <f t="shared" ref="R65:R68" si="48">H65-O65-P65-Q65</f>
        <v>188822.1270468</v>
      </c>
      <c r="S65" s="26">
        <f>SUM(I65:R65)</f>
        <v>648717.24</v>
      </c>
      <c r="T65" s="24" t="e">
        <f>SUM(#REF!)</f>
        <v>#REF!</v>
      </c>
      <c r="U65" s="32">
        <f>B65+17</f>
        <v>58</v>
      </c>
      <c r="V65" s="11">
        <v>56</v>
      </c>
      <c r="W65" s="11"/>
      <c r="X65" s="11">
        <v>11</v>
      </c>
      <c r="Y65" s="11"/>
      <c r="Z65" s="11"/>
    </row>
    <row r="66" s="14" customFormat="1" ht="16.5" customHeight="1" spans="1:26">
      <c r="A66" s="6">
        <v>11</v>
      </c>
      <c r="B66" s="6">
        <v>87</v>
      </c>
      <c r="C66" s="18" t="s">
        <v>28</v>
      </c>
      <c r="D66" s="19"/>
      <c r="E66" s="19">
        <v>896369.7</v>
      </c>
      <c r="F66" s="19"/>
      <c r="G66" s="19"/>
      <c r="H66" s="20">
        <v>896369.7</v>
      </c>
      <c r="I66" s="20"/>
      <c r="J66" s="20"/>
      <c r="K66" s="20"/>
      <c r="L66" s="20"/>
      <c r="M66" s="20"/>
      <c r="N66" s="20"/>
      <c r="O66" s="20">
        <f>H66*0.21</f>
        <v>188237.637</v>
      </c>
      <c r="P66" s="26">
        <f>H66*0.25113</f>
        <v>225105.322761</v>
      </c>
      <c r="Q66" s="26">
        <f>H66*0.2478</f>
        <v>222120.41166</v>
      </c>
      <c r="R66" s="26">
        <f>H66-O66-P66-Q66</f>
        <v>260906.328579</v>
      </c>
      <c r="S66" s="26">
        <f>SUM(I66:R66)</f>
        <v>896369.7</v>
      </c>
      <c r="T66" s="24" t="e">
        <f>SUM(#REF!)</f>
        <v>#REF!</v>
      </c>
      <c r="U66" s="32">
        <f>B66+17</f>
        <v>104</v>
      </c>
      <c r="V66" s="11">
        <v>57</v>
      </c>
      <c r="W66" s="11">
        <v>11</v>
      </c>
      <c r="X66" s="11"/>
      <c r="Y66" s="11"/>
      <c r="Z66" s="11"/>
    </row>
    <row r="67" s="14" customFormat="1" ht="16.5" customHeight="1" spans="1:26">
      <c r="A67" s="6">
        <v>11</v>
      </c>
      <c r="B67" s="6">
        <v>50</v>
      </c>
      <c r="C67" s="18" t="s">
        <v>29</v>
      </c>
      <c r="D67" s="19"/>
      <c r="E67" s="19"/>
      <c r="F67" s="19">
        <v>153487.81</v>
      </c>
      <c r="G67" s="19"/>
      <c r="H67" s="20">
        <v>153487.81</v>
      </c>
      <c r="I67" s="20"/>
      <c r="J67" s="20"/>
      <c r="K67" s="20"/>
      <c r="L67" s="20"/>
      <c r="M67" s="20"/>
      <c r="N67" s="20"/>
      <c r="O67" s="20">
        <f>H67*0.21</f>
        <v>32232.4401</v>
      </c>
      <c r="P67" s="26">
        <f>H67*0.25113</f>
        <v>38545.3937253</v>
      </c>
      <c r="Q67" s="26">
        <f>H67*0.2478</f>
        <v>38034.279318</v>
      </c>
      <c r="R67" s="26">
        <f>H67-O67-P67-Q67</f>
        <v>44675.6968567</v>
      </c>
      <c r="S67" s="26">
        <f>SUM(I67:R67)</f>
        <v>153487.81</v>
      </c>
      <c r="T67" s="24" t="e">
        <f>SUM(#REF!)</f>
        <v>#REF!</v>
      </c>
      <c r="U67" s="32">
        <f>B67+17</f>
        <v>67</v>
      </c>
      <c r="V67" s="11">
        <v>58</v>
      </c>
      <c r="W67" s="11"/>
      <c r="X67" s="11"/>
      <c r="Y67" s="11">
        <v>11</v>
      </c>
      <c r="Z67" s="11"/>
    </row>
    <row r="68" s="14" customFormat="1" ht="16.5" customHeight="1" spans="1:26">
      <c r="A68" s="6">
        <v>11</v>
      </c>
      <c r="B68" s="6">
        <v>17</v>
      </c>
      <c r="C68" s="18" t="s">
        <v>30</v>
      </c>
      <c r="D68" s="19"/>
      <c r="E68" s="19"/>
      <c r="F68" s="19"/>
      <c r="G68" s="19">
        <v>6581.73</v>
      </c>
      <c r="H68" s="20">
        <v>6581.73</v>
      </c>
      <c r="I68" s="20"/>
      <c r="J68" s="20"/>
      <c r="K68" s="20"/>
      <c r="L68" s="20"/>
      <c r="M68" s="20"/>
      <c r="N68" s="20"/>
      <c r="O68" s="20">
        <f>H68*0.21</f>
        <v>1382.1633</v>
      </c>
      <c r="P68" s="26">
        <f>H68*0.25113</f>
        <v>1652.8698549</v>
      </c>
      <c r="Q68" s="26">
        <f>H68*0.2478</f>
        <v>1630.952694</v>
      </c>
      <c r="R68" s="26">
        <f>H68-O68-P68-Q68</f>
        <v>1915.7441511</v>
      </c>
      <c r="S68" s="26">
        <f>SUM(I68:R68)</f>
        <v>6581.73</v>
      </c>
      <c r="T68" s="24"/>
      <c r="U68" s="32">
        <f>B68+17</f>
        <v>34</v>
      </c>
      <c r="V68" s="11"/>
      <c r="W68" s="11"/>
      <c r="X68" s="11"/>
      <c r="Y68" s="11"/>
      <c r="Z68" s="11"/>
    </row>
    <row r="69" s="9" customFormat="1" ht="16.5" customHeight="1" spans="1:26">
      <c r="A69" s="21"/>
      <c r="B69" s="6"/>
      <c r="C69" s="5" t="s">
        <v>31</v>
      </c>
      <c r="D69" s="22">
        <v>648717.24</v>
      </c>
      <c r="E69" s="22">
        <v>896369.7</v>
      </c>
      <c r="F69" s="22">
        <v>153487.81</v>
      </c>
      <c r="G69" s="22">
        <v>6581.73</v>
      </c>
      <c r="H69" s="22">
        <v>1705156.48</v>
      </c>
      <c r="I69" s="20"/>
      <c r="J69" s="20"/>
      <c r="K69" s="20"/>
      <c r="L69" s="20"/>
      <c r="M69" s="20"/>
      <c r="N69" s="20"/>
      <c r="O69" s="20"/>
      <c r="P69" s="26"/>
      <c r="Q69" s="26"/>
      <c r="R69" s="26"/>
      <c r="S69" s="26"/>
      <c r="T69" s="24" t="e">
        <f>SUM(#REF!)</f>
        <v>#REF!</v>
      </c>
      <c r="U69" s="32">
        <f>B69+17</f>
        <v>17</v>
      </c>
      <c r="V69" s="11">
        <v>59</v>
      </c>
      <c r="W69" s="11"/>
      <c r="X69" s="10"/>
      <c r="Y69" s="10"/>
      <c r="Z69" s="10"/>
    </row>
    <row r="70" s="9" customFormat="1" ht="16.5" customHeight="1" spans="1:26">
      <c r="A70" s="21"/>
      <c r="B70" s="6"/>
      <c r="C70" s="5" t="s">
        <v>32</v>
      </c>
      <c r="D70" s="22">
        <v>7580367.46</v>
      </c>
      <c r="E70" s="22">
        <v>9612628.41</v>
      </c>
      <c r="F70" s="22">
        <v>1752342.02</v>
      </c>
      <c r="G70" s="22">
        <v>69631.65</v>
      </c>
      <c r="H70" s="23">
        <v>19014969.54</v>
      </c>
      <c r="I70" s="20"/>
      <c r="J70" s="20"/>
      <c r="K70" s="20"/>
      <c r="L70" s="20"/>
      <c r="M70" s="20"/>
      <c r="N70" s="20"/>
      <c r="O70" s="20"/>
      <c r="P70" s="26"/>
      <c r="Q70" s="26"/>
      <c r="R70" s="26"/>
      <c r="S70" s="26"/>
      <c r="T70" s="24" t="e">
        <f>SUM(#REF!)</f>
        <v>#REF!</v>
      </c>
      <c r="U70" s="32">
        <f>B70+17</f>
        <v>17</v>
      </c>
      <c r="V70" s="11">
        <v>60</v>
      </c>
      <c r="W70" s="10"/>
      <c r="X70" s="10"/>
      <c r="Y70" s="10"/>
      <c r="Z70" s="10"/>
    </row>
    <row r="71" s="14" customFormat="1" ht="16.5" customHeight="1" spans="1:26">
      <c r="A71" s="6">
        <v>12</v>
      </c>
      <c r="B71" s="6">
        <v>47</v>
      </c>
      <c r="C71" s="18" t="s">
        <v>27</v>
      </c>
      <c r="D71" s="19">
        <v>609639.74</v>
      </c>
      <c r="E71" s="19"/>
      <c r="F71" s="19"/>
      <c r="G71" s="19"/>
      <c r="H71" s="20">
        <f t="shared" ref="H71:H74" si="49">SUM(D71:G71)</f>
        <v>609639.74</v>
      </c>
      <c r="I71" s="20"/>
      <c r="J71" s="20"/>
      <c r="K71" s="20"/>
      <c r="L71" s="20"/>
      <c r="M71" s="20"/>
      <c r="N71" s="20"/>
      <c r="O71" s="20"/>
      <c r="P71" s="26"/>
      <c r="Q71" s="26">
        <f t="shared" ref="Q71:Q74" si="50">H71*0.43</f>
        <v>262145.0882</v>
      </c>
      <c r="R71" s="26">
        <f t="shared" ref="R71:R74" si="51">H71-Q71</f>
        <v>347494.6518</v>
      </c>
      <c r="S71" s="26">
        <f t="shared" ref="S71:S74" si="52">SUM(I71:R71)</f>
        <v>609639.74</v>
      </c>
      <c r="T71" s="24" t="e">
        <f>SUM(#REF!)</f>
        <v>#REF!</v>
      </c>
      <c r="U71" s="32">
        <f>B71+17</f>
        <v>64</v>
      </c>
      <c r="V71" s="11">
        <v>61</v>
      </c>
      <c r="W71" s="11"/>
      <c r="X71" s="11">
        <v>12</v>
      </c>
      <c r="Y71" s="11"/>
      <c r="Z71" s="11"/>
    </row>
    <row r="72" s="14" customFormat="1" ht="16.5" customHeight="1" spans="1:26">
      <c r="A72" s="6">
        <v>12</v>
      </c>
      <c r="B72" s="6">
        <v>54</v>
      </c>
      <c r="C72" s="18" t="s">
        <v>28</v>
      </c>
      <c r="D72" s="19"/>
      <c r="E72" s="19">
        <v>983587.28</v>
      </c>
      <c r="F72" s="19"/>
      <c r="G72" s="19"/>
      <c r="H72" s="20">
        <f>SUM(D72:G72)</f>
        <v>983587.28</v>
      </c>
      <c r="I72" s="20"/>
      <c r="J72" s="20"/>
      <c r="K72" s="20"/>
      <c r="L72" s="20"/>
      <c r="M72" s="20"/>
      <c r="N72" s="20"/>
      <c r="O72" s="20"/>
      <c r="P72" s="26"/>
      <c r="Q72" s="26">
        <f>H72*0.43</f>
        <v>422942.5304</v>
      </c>
      <c r="R72" s="26">
        <f>H72-Q72</f>
        <v>560644.7496</v>
      </c>
      <c r="S72" s="26">
        <f>SUM(I72:R72)</f>
        <v>983587.28</v>
      </c>
      <c r="T72" s="24" t="e">
        <f>SUM(#REF!)</f>
        <v>#REF!</v>
      </c>
      <c r="U72" s="32">
        <f>B72+17</f>
        <v>71</v>
      </c>
      <c r="V72" s="11">
        <v>62</v>
      </c>
      <c r="W72" s="11">
        <v>12</v>
      </c>
      <c r="X72" s="11"/>
      <c r="Y72" s="11"/>
      <c r="Z72" s="11"/>
    </row>
    <row r="73" s="14" customFormat="1" ht="16.5" customHeight="1" spans="1:26">
      <c r="A73" s="6">
        <v>12</v>
      </c>
      <c r="B73" s="6">
        <v>103</v>
      </c>
      <c r="C73" s="18" t="s">
        <v>29</v>
      </c>
      <c r="D73" s="19"/>
      <c r="E73" s="19"/>
      <c r="F73" s="19">
        <v>166267.32</v>
      </c>
      <c r="G73" s="19"/>
      <c r="H73" s="20">
        <f>SUM(D73:G73)</f>
        <v>166267.32</v>
      </c>
      <c r="I73" s="20"/>
      <c r="J73" s="20"/>
      <c r="K73" s="20"/>
      <c r="L73" s="20"/>
      <c r="M73" s="20"/>
      <c r="N73" s="20"/>
      <c r="O73" s="20"/>
      <c r="P73" s="26"/>
      <c r="Q73" s="26">
        <f>H73*0.43</f>
        <v>71494.9476</v>
      </c>
      <c r="R73" s="26">
        <f>H73-Q73</f>
        <v>94772.3724</v>
      </c>
      <c r="S73" s="26">
        <f>SUM(I73:R73)</f>
        <v>166267.32</v>
      </c>
      <c r="T73" s="24" t="e">
        <f>SUM(#REF!)</f>
        <v>#REF!</v>
      </c>
      <c r="U73" s="32">
        <f>B73+17</f>
        <v>120</v>
      </c>
      <c r="V73" s="11">
        <v>63</v>
      </c>
      <c r="W73" s="11"/>
      <c r="X73" s="11"/>
      <c r="Y73" s="11">
        <v>12</v>
      </c>
      <c r="Z73" s="11"/>
    </row>
    <row r="74" s="14" customFormat="1" ht="16.5" customHeight="1" spans="1:26">
      <c r="A74" s="6">
        <v>12</v>
      </c>
      <c r="B74" s="6">
        <v>74</v>
      </c>
      <c r="C74" s="18" t="s">
        <v>30</v>
      </c>
      <c r="D74" s="19"/>
      <c r="E74" s="19"/>
      <c r="F74" s="19"/>
      <c r="G74" s="19">
        <v>6536.12</v>
      </c>
      <c r="H74" s="20">
        <f>SUM(D74:G74)</f>
        <v>6536.12</v>
      </c>
      <c r="I74" s="20"/>
      <c r="J74" s="20"/>
      <c r="K74" s="20"/>
      <c r="L74" s="20"/>
      <c r="M74" s="20"/>
      <c r="N74" s="20"/>
      <c r="O74" s="20"/>
      <c r="P74" s="26"/>
      <c r="Q74" s="26">
        <f>H74*0.43</f>
        <v>2810.5316</v>
      </c>
      <c r="R74" s="26">
        <f>H74-Q74</f>
        <v>3725.5884</v>
      </c>
      <c r="S74" s="26">
        <f>SUM(I74:R74)</f>
        <v>6536.12</v>
      </c>
      <c r="T74" s="24" t="e">
        <f>SUM(#REF!)</f>
        <v>#REF!</v>
      </c>
      <c r="U74" s="32">
        <f>B74+17</f>
        <v>91</v>
      </c>
      <c r="V74" s="11">
        <v>64</v>
      </c>
      <c r="W74" s="11"/>
      <c r="X74" s="11"/>
      <c r="Y74" s="11"/>
      <c r="Z74" s="11">
        <v>6</v>
      </c>
    </row>
    <row r="75" s="14" customFormat="1" ht="16.5" customHeight="1" spans="1:26">
      <c r="A75" s="6"/>
      <c r="B75" s="6"/>
      <c r="C75" s="5" t="s">
        <v>31</v>
      </c>
      <c r="D75" s="22">
        <f t="shared" ref="D75:H75" si="53">SUM(D71:D74)</f>
        <v>609639.74</v>
      </c>
      <c r="E75" s="22">
        <f>SUM(E71:E74)</f>
        <v>983587.28</v>
      </c>
      <c r="F75" s="22">
        <f>SUM(F71:F74)</f>
        <v>166267.32</v>
      </c>
      <c r="G75" s="22">
        <f>SUM(G71:G74)</f>
        <v>6536.12</v>
      </c>
      <c r="H75" s="22">
        <f>SUM(H71:H74)</f>
        <v>1766030.46</v>
      </c>
      <c r="I75" s="20"/>
      <c r="J75" s="20"/>
      <c r="K75" s="20"/>
      <c r="L75" s="20"/>
      <c r="M75" s="20"/>
      <c r="N75" s="20"/>
      <c r="O75" s="20"/>
      <c r="P75" s="26"/>
      <c r="Q75" s="26"/>
      <c r="R75" s="26"/>
      <c r="S75" s="26"/>
      <c r="T75" s="24" t="e">
        <f>SUM(#REF!)</f>
        <v>#REF!</v>
      </c>
      <c r="U75" s="32" t="e">
        <f>T75-H75</f>
        <v>#REF!</v>
      </c>
      <c r="V75" s="11">
        <v>65</v>
      </c>
      <c r="W75" s="11"/>
      <c r="X75" s="11"/>
      <c r="Y75" s="11"/>
      <c r="Z75" s="11"/>
    </row>
    <row r="76" s="14" customFormat="1" ht="16.5" customHeight="1" spans="1:26">
      <c r="A76" s="6"/>
      <c r="B76" s="6"/>
      <c r="C76" s="22" t="s">
        <v>32</v>
      </c>
      <c r="D76" s="22">
        <f t="shared" ref="D76:H76" si="54">D70+D75</f>
        <v>8190007.2</v>
      </c>
      <c r="E76" s="22">
        <f>E70+E75</f>
        <v>10596215.69</v>
      </c>
      <c r="F76" s="22">
        <f>F70+F75</f>
        <v>1918609.34</v>
      </c>
      <c r="G76" s="22">
        <f>G70+G75</f>
        <v>76167.77</v>
      </c>
      <c r="H76" s="22">
        <f>H70+H75</f>
        <v>20781000</v>
      </c>
      <c r="I76" s="48">
        <f t="shared" ref="I76:S76" si="55">SUM(I5:I75)</f>
        <v>2382820.6467</v>
      </c>
      <c r="J76" s="48">
        <f>SUM(J5:J75)</f>
        <v>2672656.624682</v>
      </c>
      <c r="K76" s="48">
        <f>SUM(K5:K75)</f>
        <v>2206265.652164</v>
      </c>
      <c r="L76" s="48">
        <f>SUM(L5:L75)</f>
        <v>1475667.436388</v>
      </c>
      <c r="M76" s="48">
        <f>SUM(M5:M75)</f>
        <v>1816150.923682</v>
      </c>
      <c r="N76" s="48">
        <f>SUM(N5:N75)</f>
        <v>1384641.58127</v>
      </c>
      <c r="O76" s="48">
        <f>SUM(O5:O75)</f>
        <v>1877121.9348244</v>
      </c>
      <c r="P76" s="48">
        <f>SUM(P5:P75)</f>
        <v>1938530.1087252</v>
      </c>
      <c r="Q76" s="48">
        <f>SUM(Q5:Q75)</f>
        <v>2187215.283908</v>
      </c>
      <c r="R76" s="48">
        <f>SUM(R5:R75)</f>
        <v>2839929.8076564</v>
      </c>
      <c r="S76" s="48">
        <f>SUM(S5:S75)</f>
        <v>20781000</v>
      </c>
      <c r="T76" s="23" t="e">
        <f>SUM(T4:T75)</f>
        <v>#REF!</v>
      </c>
      <c r="U76" s="32" t="e">
        <f>T76-H76</f>
        <v>#REF!</v>
      </c>
      <c r="V76" s="11">
        <v>66</v>
      </c>
      <c r="W76" s="11"/>
      <c r="X76" s="11"/>
      <c r="Y76" s="11"/>
      <c r="Z76" s="11"/>
    </row>
    <row r="77" s="14" customFormat="1" spans="1:26">
      <c r="A77" s="33"/>
      <c r="B77" s="33"/>
      <c r="C77" s="34"/>
      <c r="D77" s="35">
        <f t="shared" ref="D77:G77" si="56">D76/$H$76</f>
        <v>0.394110350801213</v>
      </c>
      <c r="E77" s="35">
        <f>E76/$H$76</f>
        <v>0.509899219960541</v>
      </c>
      <c r="F77" s="35">
        <f>F76/$H$76</f>
        <v>0.092325169144892</v>
      </c>
      <c r="G77" s="35">
        <f>G76/$H$76</f>
        <v>0.00366526009335451</v>
      </c>
      <c r="H77" s="33"/>
      <c r="I77" s="33"/>
      <c r="J77" s="33"/>
      <c r="K77" s="33"/>
      <c r="L77" s="33"/>
      <c r="M77" s="33"/>
      <c r="N77" s="33"/>
      <c r="O77" s="33"/>
      <c r="P77" s="33"/>
      <c r="Q77" s="33"/>
      <c r="R77" s="33"/>
      <c r="S77" s="44"/>
      <c r="T77" s="33"/>
      <c r="U77" s="32"/>
      <c r="V77" s="11"/>
      <c r="W77" s="11"/>
      <c r="X77" s="11"/>
      <c r="Y77" s="11"/>
      <c r="Z77" s="11"/>
    </row>
    <row r="78" s="14" customFormat="1" spans="1:26">
      <c r="A78" s="33"/>
      <c r="B78" s="33"/>
      <c r="C78" s="34"/>
      <c r="D78" s="33"/>
      <c r="E78" s="33"/>
      <c r="F78" s="33"/>
      <c r="G78" s="16" t="s">
        <v>56</v>
      </c>
      <c r="H78" s="36"/>
      <c r="I78" s="37"/>
      <c r="J78" s="37"/>
      <c r="K78" s="37"/>
      <c r="L78" s="37"/>
      <c r="M78" s="37"/>
      <c r="N78" s="37"/>
      <c r="O78" s="37"/>
      <c r="P78" s="37"/>
      <c r="Q78" s="37"/>
      <c r="R78" s="37"/>
      <c r="S78" s="45"/>
      <c r="T78" s="37"/>
      <c r="U78" s="32"/>
      <c r="V78" s="11"/>
      <c r="W78" s="11"/>
      <c r="X78" s="11"/>
      <c r="Y78" s="11"/>
      <c r="Z78" s="11"/>
    </row>
    <row r="79" s="14" customFormat="1" spans="1:26">
      <c r="A79" s="33"/>
      <c r="B79" s="33"/>
      <c r="C79" s="34"/>
      <c r="D79" s="33"/>
      <c r="E79" s="33"/>
      <c r="F79" s="33"/>
      <c r="G79" s="33"/>
      <c r="H79" s="37"/>
      <c r="I79" s="37"/>
      <c r="J79" s="37"/>
      <c r="K79" s="37"/>
      <c r="L79" s="37"/>
      <c r="M79" s="37"/>
      <c r="N79" s="37"/>
      <c r="O79" s="37"/>
      <c r="P79" s="37"/>
      <c r="Q79" s="37"/>
      <c r="R79" s="37"/>
      <c r="S79" s="45"/>
      <c r="T79" s="37"/>
      <c r="U79" s="37"/>
      <c r="V79" s="11"/>
      <c r="W79" s="11"/>
      <c r="X79" s="11"/>
      <c r="Y79" s="11"/>
      <c r="Z79" s="11"/>
    </row>
    <row r="80" s="14" customFormat="1" spans="1:26">
      <c r="A80" s="33"/>
      <c r="B80" s="33"/>
      <c r="C80" s="34"/>
      <c r="D80" s="33">
        <v>1</v>
      </c>
      <c r="E80" s="33">
        <v>2</v>
      </c>
      <c r="F80" s="33">
        <v>3</v>
      </c>
      <c r="G80" s="16" t="s">
        <v>57</v>
      </c>
      <c r="H80" s="36">
        <v>20781000</v>
      </c>
      <c r="I80" s="37"/>
      <c r="J80" s="37"/>
      <c r="K80" s="37"/>
      <c r="L80" s="37"/>
      <c r="M80" s="37"/>
      <c r="N80" s="37"/>
      <c r="O80" s="37"/>
      <c r="P80" s="37"/>
      <c r="Q80" s="37"/>
      <c r="R80" s="37"/>
      <c r="S80" s="45">
        <f>SUBTOTAL(9,S5:S74)</f>
        <v>20781000</v>
      </c>
      <c r="T80" s="45" t="e">
        <f>SUBTOTAL(9,T5:T74)</f>
        <v>#REF!</v>
      </c>
      <c r="U80" s="45"/>
      <c r="V80" s="11"/>
      <c r="W80" s="11"/>
      <c r="X80" s="11"/>
      <c r="Y80" s="11"/>
      <c r="Z80" s="11"/>
    </row>
    <row r="81" s="14" customFormat="1" spans="1:26">
      <c r="A81" s="33"/>
      <c r="B81" s="33"/>
      <c r="C81" s="34"/>
      <c r="D81" s="33"/>
      <c r="E81" s="33"/>
      <c r="F81" s="33"/>
      <c r="G81" s="16" t="s">
        <v>58</v>
      </c>
      <c r="H81" s="36">
        <f>H80-H76</f>
        <v>0</v>
      </c>
      <c r="I81" s="37"/>
      <c r="J81" s="37"/>
      <c r="K81" s="37"/>
      <c r="L81" s="37"/>
      <c r="M81" s="37"/>
      <c r="N81" s="37"/>
      <c r="O81" s="37"/>
      <c r="P81" s="37"/>
      <c r="Q81" s="37"/>
      <c r="R81" s="37"/>
      <c r="S81" s="45"/>
      <c r="T81" s="37"/>
      <c r="U81" s="37"/>
      <c r="V81" s="11"/>
      <c r="W81" s="11"/>
      <c r="X81" s="11"/>
      <c r="Y81" s="11"/>
      <c r="Z81" s="11"/>
    </row>
    <row r="82" s="14" customFormat="1" spans="1:26">
      <c r="A82" s="33"/>
      <c r="B82" s="33"/>
      <c r="C82" s="34"/>
      <c r="D82" s="33"/>
      <c r="E82" s="33"/>
      <c r="F82" s="33"/>
      <c r="G82" s="33"/>
      <c r="H82" s="37"/>
      <c r="I82" s="37"/>
      <c r="J82" s="37"/>
      <c r="K82" s="37"/>
      <c r="L82" s="37"/>
      <c r="M82" s="37"/>
      <c r="N82" s="37"/>
      <c r="O82" s="37"/>
      <c r="P82" s="37"/>
      <c r="Q82" s="37"/>
      <c r="R82" s="37"/>
      <c r="S82" s="45"/>
      <c r="T82" s="37"/>
      <c r="U82" s="37"/>
      <c r="V82" s="11"/>
      <c r="W82" s="11"/>
      <c r="X82" s="11"/>
      <c r="Y82" s="11"/>
      <c r="Z82" s="11"/>
    </row>
    <row r="83" s="14" customFormat="1" spans="1:26">
      <c r="A83" s="33"/>
      <c r="B83" s="33"/>
      <c r="C83" s="34"/>
      <c r="D83" s="38">
        <f ca="1">RANDBETWEEN(30000000,40000000)*0.00000001*$H$80</f>
        <v>7103768.10417</v>
      </c>
      <c r="E83" s="38">
        <f ca="1">H80-D83-F83-G83</f>
        <v>11647473.90489</v>
      </c>
      <c r="F83" s="38">
        <f ca="1">RANDBETWEEN(8000000,12000000)*0.00000001*$H$80</f>
        <v>2008662.99003</v>
      </c>
      <c r="G83" s="38">
        <f ca="1">RANDBETWEEN(100000,400000)*0.00000001*$H$80</f>
        <v>21095.00091</v>
      </c>
      <c r="H83" s="39">
        <f>SUBTOTAL(9,H5:H74)</f>
        <v>153846921.08</v>
      </c>
      <c r="I83" s="39"/>
      <c r="J83" s="39"/>
      <c r="K83" s="39"/>
      <c r="L83" s="39"/>
      <c r="M83" s="39"/>
      <c r="N83" s="39"/>
      <c r="O83" s="39"/>
      <c r="P83" s="39"/>
      <c r="Q83" s="39"/>
      <c r="R83" s="39"/>
      <c r="S83" s="13"/>
      <c r="V83" s="11"/>
      <c r="W83" s="11"/>
      <c r="X83" s="11"/>
      <c r="Y83" s="11"/>
      <c r="Z83" s="11"/>
    </row>
    <row r="84" s="14" customFormat="1" spans="1:26">
      <c r="A84" s="33"/>
      <c r="B84" s="33"/>
      <c r="C84" s="34">
        <v>1</v>
      </c>
      <c r="D84" s="38">
        <f ca="1" t="shared" ref="D84:G84" si="57">RANDBETWEEN(95000000,105000000)*0.00000001*D$83/12</f>
        <v>618177.921763024</v>
      </c>
      <c r="E84" s="38">
        <f ca="1">RANDBETWEEN(95000000,105000000)*0.00000001*E$83/12</f>
        <v>1012605.69861118</v>
      </c>
      <c r="F84" s="38">
        <f ca="1">RANDBETWEEN(95000000,105000000)*0.00000001*F$83/12</f>
        <v>175164.75301352</v>
      </c>
      <c r="G84" s="38">
        <f ca="1">RANDBETWEEN(95000000,105000000)*0.00000001*G$83/12</f>
        <v>1672.36587841366</v>
      </c>
      <c r="S84" s="13"/>
      <c r="V84" s="11"/>
      <c r="W84" s="11"/>
      <c r="X84" s="11"/>
      <c r="Y84" s="11"/>
      <c r="Z84" s="11"/>
    </row>
    <row r="85" s="14" customFormat="1" spans="1:26">
      <c r="A85" s="33"/>
      <c r="B85" s="33"/>
      <c r="C85" s="34">
        <v>2</v>
      </c>
      <c r="D85" s="38">
        <f ca="1" t="shared" ref="D85:G85" si="58">RANDBETWEEN(95000000,105000000)*0.00000001*D$83/12</f>
        <v>586166.614102062</v>
      </c>
      <c r="E85" s="38">
        <f ca="1">RANDBETWEEN(95000000,105000000)*0.00000001*E$83/12</f>
        <v>1017571.4535171</v>
      </c>
      <c r="F85" s="38">
        <f ca="1">RANDBETWEEN(95000000,105000000)*0.00000001*F$83/12</f>
        <v>167580.736225784</v>
      </c>
      <c r="G85" s="38">
        <f ca="1">RANDBETWEEN(95000000,105000000)*0.00000001*G$83/12</f>
        <v>1691.83266167842</v>
      </c>
      <c r="S85" s="13"/>
      <c r="V85" s="11"/>
      <c r="W85" s="11"/>
      <c r="X85" s="11"/>
      <c r="Y85" s="11"/>
      <c r="Z85" s="11"/>
    </row>
    <row r="86" s="14" customFormat="1" spans="1:26">
      <c r="A86" s="33"/>
      <c r="B86" s="33"/>
      <c r="C86" s="34">
        <v>3</v>
      </c>
      <c r="D86" s="38">
        <f ca="1" t="shared" ref="D86:G86" si="59">RANDBETWEEN(95000000,105000000)*0.00000001*D$83/12</f>
        <v>592606.848826656</v>
      </c>
      <c r="E86" s="38">
        <f ca="1">RANDBETWEEN(95000000,105000000)*0.00000001*E$83/12</f>
        <v>933713.116231609</v>
      </c>
      <c r="F86" s="38">
        <f ca="1">RANDBETWEEN(95000000,105000000)*0.00000001*F$83/12</f>
        <v>159972.091555904</v>
      </c>
      <c r="G86" s="38">
        <f ca="1">RANDBETWEEN(95000000,105000000)*0.00000001*G$83/12</f>
        <v>1806.61699560501</v>
      </c>
      <c r="H86" s="40"/>
      <c r="I86" s="40"/>
      <c r="J86" s="40"/>
      <c r="K86" s="40"/>
      <c r="L86" s="40"/>
      <c r="M86" s="40"/>
      <c r="N86" s="40"/>
      <c r="O86" s="40"/>
      <c r="P86" s="40"/>
      <c r="Q86" s="40"/>
      <c r="R86" s="40"/>
      <c r="S86" s="13"/>
      <c r="V86" s="11"/>
      <c r="W86" s="11"/>
      <c r="X86" s="11"/>
      <c r="Y86" s="11"/>
      <c r="Z86" s="11"/>
    </row>
    <row r="87" s="14" customFormat="1" spans="1:26">
      <c r="A87" s="11"/>
      <c r="B87" s="11"/>
      <c r="C87" s="34">
        <v>4</v>
      </c>
      <c r="D87" s="38">
        <f ca="1" t="shared" ref="D87:G87" si="60">RANDBETWEEN(95000000,105000000)*0.00000001*D$83/12</f>
        <v>610892.095921958</v>
      </c>
      <c r="E87" s="38">
        <f ca="1">RANDBETWEEN(95000000,105000000)*0.00000001*E$83/12</f>
        <v>952559.505507982</v>
      </c>
      <c r="F87" s="38">
        <f ca="1">RANDBETWEEN(95000000,105000000)*0.00000001*F$83/12</f>
        <v>159117.400431989</v>
      </c>
      <c r="G87" s="38">
        <f ca="1">RANDBETWEEN(95000000,105000000)*0.00000001*G$83/12</f>
        <v>1844.54267814939</v>
      </c>
      <c r="H87" s="41"/>
      <c r="I87" s="41"/>
      <c r="J87" s="41"/>
      <c r="K87" s="41"/>
      <c r="L87" s="41"/>
      <c r="M87" s="41"/>
      <c r="N87" s="41"/>
      <c r="O87" s="41"/>
      <c r="P87" s="41"/>
      <c r="Q87" s="41"/>
      <c r="R87" s="41"/>
      <c r="S87" s="46"/>
      <c r="T87" s="41"/>
      <c r="U87" s="41"/>
      <c r="V87" s="11"/>
      <c r="W87" s="11"/>
      <c r="X87" s="11"/>
      <c r="Y87" s="11"/>
      <c r="Z87" s="11"/>
    </row>
    <row r="88" s="14" customFormat="1" spans="1:26">
      <c r="A88" s="11"/>
      <c r="B88" s="11"/>
      <c r="C88" s="34">
        <v>5</v>
      </c>
      <c r="D88" s="38">
        <f ca="1" t="shared" ref="D88:G88" si="61">RANDBETWEEN(95000000,105000000)*0.00000001*D$83/12</f>
        <v>611635.055348746</v>
      </c>
      <c r="E88" s="38">
        <f ca="1">RANDBETWEEN(95000000,105000000)*0.00000001*E$83/12</f>
        <v>1002019.83371535</v>
      </c>
      <c r="F88" s="38">
        <f ca="1">RANDBETWEEN(95000000,105000000)*0.00000001*F$83/12</f>
        <v>169638.003838515</v>
      </c>
      <c r="G88" s="38">
        <f ca="1">RANDBETWEEN(95000000,105000000)*0.00000001*G$83/12</f>
        <v>1738.33432347192</v>
      </c>
      <c r="H88" s="11"/>
      <c r="I88" s="11"/>
      <c r="J88" s="11"/>
      <c r="K88" s="11"/>
      <c r="L88" s="11"/>
      <c r="M88" s="11"/>
      <c r="N88" s="11"/>
      <c r="O88" s="11"/>
      <c r="P88" s="11"/>
      <c r="Q88" s="11"/>
      <c r="R88" s="11"/>
      <c r="S88" s="13"/>
      <c r="T88" s="11"/>
      <c r="U88" s="11"/>
      <c r="V88" s="11"/>
      <c r="W88" s="11"/>
      <c r="X88" s="11"/>
      <c r="Y88" s="11"/>
      <c r="Z88" s="11"/>
    </row>
    <row r="89" s="14" customFormat="1" spans="1:26">
      <c r="A89" s="11"/>
      <c r="B89" s="11"/>
      <c r="C89" s="34">
        <v>6</v>
      </c>
      <c r="D89" s="38">
        <f ca="1" t="shared" ref="D89:G89" si="62">RANDBETWEEN(95000000,105000000)*0.00000001*D$83/12</f>
        <v>582118.064183168</v>
      </c>
      <c r="E89" s="38">
        <f ca="1">RANDBETWEEN(95000000,105000000)*0.00000001*E$83/12</f>
        <v>1018015.5716971</v>
      </c>
      <c r="F89" s="38">
        <f ca="1">RANDBETWEEN(95000000,105000000)*0.00000001*F$83/12</f>
        <v>174444.386205405</v>
      </c>
      <c r="G89" s="38">
        <f ca="1">RANDBETWEEN(95000000,105000000)*0.00000001*G$83/12</f>
        <v>1776.00936224715</v>
      </c>
      <c r="H89" s="11"/>
      <c r="I89" s="11"/>
      <c r="J89" s="11"/>
      <c r="K89" s="11"/>
      <c r="L89" s="11"/>
      <c r="M89" s="11"/>
      <c r="N89" s="11"/>
      <c r="O89" s="11"/>
      <c r="P89" s="11"/>
      <c r="Q89" s="11"/>
      <c r="R89" s="11"/>
      <c r="S89" s="13"/>
      <c r="T89" s="11"/>
      <c r="U89" s="11"/>
      <c r="V89" s="11"/>
      <c r="W89" s="11"/>
      <c r="X89" s="11"/>
      <c r="Y89" s="11"/>
      <c r="Z89" s="11"/>
    </row>
    <row r="90" s="14" customFormat="1" spans="1:26">
      <c r="A90" s="11"/>
      <c r="B90" s="11"/>
      <c r="C90" s="34">
        <v>7</v>
      </c>
      <c r="D90" s="38">
        <f ca="1" t="shared" ref="D90:G90" si="63">RANDBETWEEN(95000000,105000000)*0.00000001*D$83/12</f>
        <v>583642.941284988</v>
      </c>
      <c r="E90" s="38">
        <f ca="1">RANDBETWEEN(95000000,105000000)*0.00000001*E$83/12</f>
        <v>984321.836834856</v>
      </c>
      <c r="F90" s="38">
        <f ca="1">RANDBETWEEN(95000000,105000000)*0.00000001*F$83/12</f>
        <v>170734.785721532</v>
      </c>
      <c r="G90" s="38">
        <f ca="1">RANDBETWEEN(95000000,105000000)*0.00000001*G$83/12</f>
        <v>1845.03473662478</v>
      </c>
      <c r="H90" s="11"/>
      <c r="I90" s="11"/>
      <c r="J90" s="11"/>
      <c r="K90" s="11"/>
      <c r="L90" s="11"/>
      <c r="M90" s="11"/>
      <c r="N90" s="11"/>
      <c r="O90" s="11"/>
      <c r="P90" s="11"/>
      <c r="Q90" s="11"/>
      <c r="R90" s="11"/>
      <c r="S90" s="13"/>
      <c r="T90" s="11"/>
      <c r="U90" s="11"/>
      <c r="V90" s="11"/>
      <c r="W90" s="11"/>
      <c r="X90" s="11"/>
      <c r="Y90" s="11"/>
      <c r="Z90" s="11"/>
    </row>
    <row r="91" s="14" customFormat="1" spans="1:26">
      <c r="A91" s="11"/>
      <c r="B91" s="11"/>
      <c r="C91" s="34">
        <v>8</v>
      </c>
      <c r="D91" s="38">
        <f ca="1" t="shared" ref="D91:G91" si="64">RANDBETWEEN(95000000,105000000)*0.00000001*D$83/12</f>
        <v>576692.679689743</v>
      </c>
      <c r="E91" s="38">
        <f ca="1">RANDBETWEEN(95000000,105000000)*0.00000001*E$83/12</f>
        <v>986260.568572553</v>
      </c>
      <c r="F91" s="38">
        <f ca="1">RANDBETWEEN(95000000,105000000)*0.00000001*F$83/12</f>
        <v>166170.820521479</v>
      </c>
      <c r="G91" s="38">
        <f ca="1">RANDBETWEEN(95000000,105000000)*0.00000001*G$83/12</f>
        <v>1785.14142329942</v>
      </c>
      <c r="H91" s="11"/>
      <c r="I91" s="11"/>
      <c r="J91" s="11"/>
      <c r="K91" s="11"/>
      <c r="L91" s="11"/>
      <c r="M91" s="11"/>
      <c r="N91" s="11"/>
      <c r="O91" s="11"/>
      <c r="P91" s="11"/>
      <c r="Q91" s="11"/>
      <c r="R91" s="11"/>
      <c r="S91" s="13"/>
      <c r="T91" s="11"/>
      <c r="U91" s="11"/>
      <c r="V91" s="11"/>
      <c r="W91" s="11"/>
      <c r="X91" s="11"/>
      <c r="Y91" s="11"/>
      <c r="Z91" s="11"/>
    </row>
    <row r="92" s="14" customFormat="1" spans="1:26">
      <c r="A92" s="11"/>
      <c r="B92" s="11"/>
      <c r="C92" s="34">
        <v>9</v>
      </c>
      <c r="D92" s="38">
        <f ca="1" t="shared" ref="D92:G92" si="65">RANDBETWEEN(95000000,105000000)*0.00000001*D$83/12</f>
        <v>565784.352421829</v>
      </c>
      <c r="E92" s="38">
        <f ca="1">RANDBETWEEN(95000000,105000000)*0.00000001*E$83/12</f>
        <v>1014603.75481596</v>
      </c>
      <c r="F92" s="38">
        <f ca="1">RANDBETWEEN(95000000,105000000)*0.00000001*F$83/12</f>
        <v>175686.672287648</v>
      </c>
      <c r="G92" s="38">
        <f ca="1">RANDBETWEEN(95000000,105000000)*0.00000001*G$83/12</f>
        <v>1733.16893123242</v>
      </c>
      <c r="H92" s="42"/>
      <c r="I92" s="42"/>
      <c r="J92" s="42"/>
      <c r="K92" s="42"/>
      <c r="L92" s="42"/>
      <c r="M92" s="42"/>
      <c r="N92" s="42"/>
      <c r="O92" s="42"/>
      <c r="P92" s="42"/>
      <c r="Q92" s="42"/>
      <c r="R92" s="42"/>
      <c r="S92" s="13"/>
      <c r="T92" s="11"/>
      <c r="U92" s="11"/>
      <c r="V92" s="11"/>
      <c r="W92" s="11"/>
      <c r="X92" s="11"/>
      <c r="Y92" s="11"/>
      <c r="Z92" s="11"/>
    </row>
    <row r="93" s="14" customFormat="1" spans="1:26">
      <c r="A93" s="11"/>
      <c r="B93" s="11"/>
      <c r="C93" s="34">
        <v>10</v>
      </c>
      <c r="D93" s="38">
        <f ca="1" t="shared" ref="D93:G93" si="66">RANDBETWEEN(95000000,105000000)*0.00000001*D$83/12</f>
        <v>605993.674866307</v>
      </c>
      <c r="E93" s="38">
        <f ca="1">RANDBETWEEN(95000000,105000000)*0.00000001*E$83/12</f>
        <v>927712.755043625</v>
      </c>
      <c r="F93" s="38">
        <f ca="1">RANDBETWEEN(95000000,105000000)*0.00000001*F$83/12</f>
        <v>175352.13281443</v>
      </c>
      <c r="G93" s="38">
        <f ca="1">RANDBETWEEN(95000000,105000000)*0.00000001*G$83/12</f>
        <v>1831.48480226943</v>
      </c>
      <c r="H93" s="11"/>
      <c r="I93" s="11"/>
      <c r="J93" s="11"/>
      <c r="K93" s="11"/>
      <c r="L93" s="11"/>
      <c r="M93" s="11"/>
      <c r="N93" s="11"/>
      <c r="O93" s="11"/>
      <c r="P93" s="11"/>
      <c r="Q93" s="11"/>
      <c r="R93" s="11"/>
      <c r="S93" s="13"/>
      <c r="T93" s="11"/>
      <c r="U93" s="11"/>
      <c r="V93" s="11"/>
      <c r="W93" s="11"/>
      <c r="X93" s="11"/>
      <c r="Y93" s="11"/>
      <c r="Z93" s="11"/>
    </row>
    <row r="94" s="14" customFormat="1" spans="1:26">
      <c r="A94" s="11"/>
      <c r="B94" s="11"/>
      <c r="C94" s="34">
        <v>11</v>
      </c>
      <c r="D94" s="38">
        <f ca="1" t="shared" ref="D94:G94" si="67">RANDBETWEEN(95000000,105000000)*0.00000001*D$83/12</f>
        <v>602747.34755961</v>
      </c>
      <c r="E94" s="38">
        <f ca="1">RANDBETWEEN(95000000,105000000)*0.00000001*E$83/12</f>
        <v>1018620.69679137</v>
      </c>
      <c r="F94" s="38">
        <f ca="1">RANDBETWEEN(95000000,105000000)*0.00000001*F$83/12</f>
        <v>166966.261108846</v>
      </c>
      <c r="G94" s="38">
        <f ca="1">RANDBETWEEN(95000000,105000000)*0.00000001*G$83/12</f>
        <v>1795.90910282642</v>
      </c>
      <c r="H94" s="11"/>
      <c r="I94" s="11"/>
      <c r="J94" s="11"/>
      <c r="K94" s="11"/>
      <c r="L94" s="11"/>
      <c r="M94" s="11"/>
      <c r="N94" s="11"/>
      <c r="O94" s="11"/>
      <c r="P94" s="11"/>
      <c r="Q94" s="11"/>
      <c r="R94" s="11"/>
      <c r="S94" s="13"/>
      <c r="T94" s="11"/>
      <c r="U94" s="11"/>
      <c r="V94" s="11"/>
      <c r="W94" s="11"/>
      <c r="X94" s="11"/>
      <c r="Y94" s="11"/>
      <c r="Z94" s="11"/>
    </row>
    <row r="95" s="14" customFormat="1" spans="1:26">
      <c r="A95" s="11"/>
      <c r="B95" s="11"/>
      <c r="C95" s="34">
        <v>12</v>
      </c>
      <c r="D95" s="38">
        <f ca="1" t="shared" ref="D95:G95" si="68">D83-D84-D85-D86-D87-D88-D89-D90-D91-D92-D93-D94</f>
        <v>567310.50820191</v>
      </c>
      <c r="E95" s="38">
        <f ca="1">E83-E84-E85-E86-E87-E88-E89-E90-E91-E92-E93-E94</f>
        <v>779469.113551325</v>
      </c>
      <c r="F95" s="38">
        <f ca="1">F83-F84-F85-F86-F87-F88-F89-F90-F91-F92-F93-F94</f>
        <v>147834.946304947</v>
      </c>
      <c r="G95" s="38">
        <f ca="1">G83-G84-G85-G86-G87-G88-G89-G90-G91-G92-G93-G94</f>
        <v>1574.56001418199</v>
      </c>
      <c r="H95" s="11"/>
      <c r="I95" s="11"/>
      <c r="J95" s="11"/>
      <c r="K95" s="11"/>
      <c r="L95" s="11"/>
      <c r="M95" s="11"/>
      <c r="N95" s="11"/>
      <c r="O95" s="11"/>
      <c r="P95" s="11"/>
      <c r="Q95" s="11"/>
      <c r="R95" s="11"/>
      <c r="S95" s="13"/>
      <c r="T95" s="11"/>
      <c r="U95" s="11"/>
      <c r="V95" s="11"/>
      <c r="W95" s="11"/>
      <c r="X95" s="11"/>
      <c r="Y95" s="11"/>
      <c r="Z95" s="11"/>
    </row>
    <row r="96" s="14" customFormat="1" spans="1:26">
      <c r="A96" s="11"/>
      <c r="B96" s="11"/>
      <c r="C96" s="12"/>
      <c r="D96" s="11"/>
      <c r="E96" s="11"/>
      <c r="F96" s="11"/>
      <c r="G96" s="11"/>
      <c r="H96" s="11"/>
      <c r="I96" s="11"/>
      <c r="J96" s="11"/>
      <c r="K96" s="11"/>
      <c r="L96" s="11"/>
      <c r="M96" s="11"/>
      <c r="N96" s="11"/>
      <c r="O96" s="11"/>
      <c r="P96" s="11"/>
      <c r="Q96" s="11"/>
      <c r="R96" s="11"/>
      <c r="S96" s="13"/>
      <c r="T96" s="11"/>
      <c r="U96" s="11"/>
      <c r="V96" s="11"/>
      <c r="W96" s="11"/>
      <c r="X96" s="11"/>
      <c r="Y96" s="11"/>
      <c r="Z96" s="11"/>
    </row>
    <row r="97" s="14" customFormat="1" spans="1:26">
      <c r="A97" s="11"/>
      <c r="B97" s="11"/>
      <c r="C97" s="12"/>
      <c r="D97" s="11"/>
      <c r="E97" s="11"/>
      <c r="F97" s="11"/>
      <c r="G97" s="11"/>
      <c r="H97" s="11"/>
      <c r="I97" s="11"/>
      <c r="J97" s="11"/>
      <c r="K97" s="11"/>
      <c r="L97" s="11"/>
      <c r="M97" s="11"/>
      <c r="N97" s="11"/>
      <c r="O97" s="11"/>
      <c r="P97" s="11"/>
      <c r="Q97" s="11"/>
      <c r="R97" s="11"/>
      <c r="S97" s="13"/>
      <c r="T97" s="11"/>
      <c r="U97" s="11"/>
      <c r="V97" s="11"/>
      <c r="W97" s="11"/>
      <c r="X97" s="11"/>
      <c r="Y97" s="11"/>
      <c r="Z97" s="11"/>
    </row>
    <row r="98" s="14" customFormat="1" spans="1:26">
      <c r="A98" s="11"/>
      <c r="B98" s="11"/>
      <c r="C98" s="12"/>
      <c r="D98" s="43">
        <v>5431674.41</v>
      </c>
      <c r="E98" s="43">
        <v>10332960.06</v>
      </c>
      <c r="F98" s="43">
        <v>1494308.5</v>
      </c>
      <c r="G98" s="43">
        <v>37057.03</v>
      </c>
      <c r="H98" s="11"/>
      <c r="I98" s="11"/>
      <c r="J98" s="11"/>
      <c r="K98" s="11"/>
      <c r="L98" s="11"/>
      <c r="M98" s="11"/>
      <c r="N98" s="11"/>
      <c r="O98" s="11"/>
      <c r="P98" s="11"/>
      <c r="Q98" s="11"/>
      <c r="R98" s="11"/>
      <c r="S98" s="13"/>
      <c r="T98" s="11"/>
      <c r="U98" s="11"/>
      <c r="V98" s="11"/>
      <c r="W98" s="11"/>
      <c r="X98" s="11"/>
      <c r="Y98" s="11"/>
      <c r="Z98" s="11"/>
    </row>
    <row r="99" s="14" customFormat="1" spans="1:26">
      <c r="A99" s="11"/>
      <c r="B99" s="11"/>
      <c r="C99" s="12"/>
      <c r="D99" s="43">
        <v>457393.69</v>
      </c>
      <c r="E99" s="43">
        <v>862421.7</v>
      </c>
      <c r="F99" s="43">
        <v>129128.92</v>
      </c>
      <c r="G99" s="38">
        <v>6345.73</v>
      </c>
      <c r="H99" s="11"/>
      <c r="I99" s="11"/>
      <c r="J99" s="11"/>
      <c r="K99" s="11"/>
      <c r="L99" s="11"/>
      <c r="M99" s="11"/>
      <c r="N99" s="11"/>
      <c r="O99" s="11"/>
      <c r="P99" s="11"/>
      <c r="Q99" s="11"/>
      <c r="R99" s="11"/>
      <c r="S99" s="13"/>
      <c r="T99" s="11"/>
      <c r="U99" s="11"/>
      <c r="V99" s="11"/>
      <c r="W99" s="11"/>
      <c r="X99" s="11"/>
      <c r="Y99" s="11"/>
      <c r="Z99" s="11"/>
    </row>
    <row r="100" s="14" customFormat="1" spans="1:26">
      <c r="A100" s="11"/>
      <c r="B100" s="11"/>
      <c r="C100" s="12"/>
      <c r="D100" s="43">
        <v>444805.13</v>
      </c>
      <c r="E100" s="43">
        <v>850237.3</v>
      </c>
      <c r="F100" s="43">
        <v>120609.58</v>
      </c>
      <c r="G100" s="38">
        <v>6394.63</v>
      </c>
      <c r="H100" s="11"/>
      <c r="I100" s="11"/>
      <c r="J100" s="11"/>
      <c r="K100" s="11"/>
      <c r="L100" s="11"/>
      <c r="M100" s="11"/>
      <c r="N100" s="11"/>
      <c r="O100" s="11"/>
      <c r="P100" s="11"/>
      <c r="Q100" s="11"/>
      <c r="R100" s="11"/>
      <c r="S100" s="13"/>
      <c r="T100" s="11"/>
      <c r="U100" s="11"/>
      <c r="V100" s="11"/>
      <c r="W100" s="11"/>
      <c r="X100" s="11"/>
      <c r="Y100" s="11"/>
      <c r="Z100" s="11"/>
    </row>
    <row r="101" s="14" customFormat="1" spans="1:26">
      <c r="A101" s="11"/>
      <c r="B101" s="11"/>
      <c r="C101" s="12"/>
      <c r="D101" s="43">
        <v>457733.34</v>
      </c>
      <c r="E101" s="43">
        <v>861872.38</v>
      </c>
      <c r="F101" s="43">
        <v>128787.47</v>
      </c>
      <c r="G101" s="38">
        <v>6141.61</v>
      </c>
      <c r="H101" s="11"/>
      <c r="I101" s="11"/>
      <c r="J101" s="11"/>
      <c r="K101" s="11"/>
      <c r="L101" s="11"/>
      <c r="M101" s="11"/>
      <c r="N101" s="11"/>
      <c r="O101" s="11"/>
      <c r="P101" s="11"/>
      <c r="Q101" s="11"/>
      <c r="R101" s="11"/>
      <c r="S101" s="13"/>
      <c r="T101" s="11"/>
      <c r="U101" s="11"/>
      <c r="V101" s="11"/>
      <c r="W101" s="11"/>
      <c r="X101" s="11"/>
      <c r="Y101" s="11"/>
      <c r="Z101" s="11"/>
    </row>
    <row r="102" s="14" customFormat="1" spans="1:26">
      <c r="A102" s="11"/>
      <c r="B102" s="11"/>
      <c r="C102" s="12"/>
      <c r="D102" s="43">
        <v>462128.19</v>
      </c>
      <c r="E102" s="43">
        <v>866225.57</v>
      </c>
      <c r="F102" s="43">
        <v>118634.51</v>
      </c>
      <c r="G102" s="38">
        <v>5973.8</v>
      </c>
      <c r="H102" s="11"/>
      <c r="I102" s="11"/>
      <c r="J102" s="11"/>
      <c r="K102" s="11"/>
      <c r="L102" s="11"/>
      <c r="M102" s="11"/>
      <c r="N102" s="11"/>
      <c r="O102" s="11"/>
      <c r="P102" s="11"/>
      <c r="Q102" s="11"/>
      <c r="R102" s="11"/>
      <c r="S102" s="13"/>
      <c r="T102" s="11"/>
      <c r="U102" s="11"/>
      <c r="V102" s="11"/>
      <c r="W102" s="11"/>
      <c r="X102" s="11"/>
      <c r="Y102" s="11"/>
      <c r="Z102" s="11"/>
    </row>
    <row r="103" s="14" customFormat="1" spans="1:26">
      <c r="A103" s="11"/>
      <c r="B103" s="11"/>
      <c r="C103" s="12"/>
      <c r="D103" s="43">
        <v>451363.62</v>
      </c>
      <c r="E103" s="43">
        <v>836138.19</v>
      </c>
      <c r="F103" s="43">
        <v>129456</v>
      </c>
      <c r="G103" s="38">
        <v>5904.01</v>
      </c>
      <c r="H103" s="11"/>
      <c r="I103" s="11"/>
      <c r="J103" s="11"/>
      <c r="K103" s="11"/>
      <c r="L103" s="11"/>
      <c r="M103" s="11"/>
      <c r="N103" s="11"/>
      <c r="O103" s="11"/>
      <c r="P103" s="11"/>
      <c r="Q103" s="11"/>
      <c r="R103" s="11"/>
      <c r="S103" s="13"/>
      <c r="T103" s="11"/>
      <c r="U103" s="11"/>
      <c r="V103" s="11"/>
      <c r="W103" s="11"/>
      <c r="X103" s="11"/>
      <c r="Y103" s="11"/>
      <c r="Z103" s="11"/>
    </row>
    <row r="104" s="14" customFormat="1" spans="1:26">
      <c r="A104" s="11"/>
      <c r="B104" s="11"/>
      <c r="C104" s="12"/>
      <c r="D104" s="43">
        <v>438150.3</v>
      </c>
      <c r="E104" s="43">
        <v>852222.84</v>
      </c>
      <c r="F104" s="43">
        <v>119834.93</v>
      </c>
      <c r="G104" s="43">
        <v>6297.25</v>
      </c>
      <c r="H104" s="11"/>
      <c r="I104" s="11"/>
      <c r="J104" s="11"/>
      <c r="K104" s="11"/>
      <c r="L104" s="11"/>
      <c r="M104" s="11"/>
      <c r="N104" s="11"/>
      <c r="O104" s="11"/>
      <c r="P104" s="11"/>
      <c r="Q104" s="11"/>
      <c r="R104" s="11"/>
      <c r="S104" s="13"/>
      <c r="T104" s="11"/>
      <c r="U104" s="11"/>
      <c r="V104" s="11"/>
      <c r="W104" s="11"/>
      <c r="X104" s="11"/>
      <c r="Y104" s="11"/>
      <c r="Z104" s="11"/>
    </row>
    <row r="105" s="14" customFormat="1" spans="1:26">
      <c r="A105" s="11"/>
      <c r="B105" s="11"/>
      <c r="C105" s="12"/>
      <c r="D105" s="43">
        <v>458867.17</v>
      </c>
      <c r="E105" s="43">
        <v>851327.14</v>
      </c>
      <c r="F105" s="43">
        <v>122154.32</v>
      </c>
      <c r="G105" s="43"/>
      <c r="H105" s="11"/>
      <c r="I105" s="11"/>
      <c r="J105" s="11"/>
      <c r="K105" s="11"/>
      <c r="L105" s="11"/>
      <c r="M105" s="11"/>
      <c r="N105" s="11"/>
      <c r="O105" s="11"/>
      <c r="P105" s="11"/>
      <c r="Q105" s="11"/>
      <c r="R105" s="11"/>
      <c r="S105" s="13"/>
      <c r="T105" s="11"/>
      <c r="U105" s="11"/>
      <c r="V105" s="11"/>
      <c r="W105" s="11"/>
      <c r="X105" s="11"/>
      <c r="Y105" s="11"/>
      <c r="Z105" s="11"/>
    </row>
    <row r="106" s="14" customFormat="1" spans="1:26">
      <c r="A106" s="11"/>
      <c r="B106" s="11"/>
      <c r="C106" s="12"/>
      <c r="D106" s="43">
        <v>445055.46</v>
      </c>
      <c r="E106" s="43">
        <v>882586.37</v>
      </c>
      <c r="F106" s="43">
        <v>129405.93</v>
      </c>
      <c r="G106" s="43"/>
      <c r="H106" s="11"/>
      <c r="I106" s="11"/>
      <c r="J106" s="11"/>
      <c r="K106" s="11"/>
      <c r="L106" s="11"/>
      <c r="M106" s="11"/>
      <c r="N106" s="11"/>
      <c r="O106" s="11"/>
      <c r="P106" s="11"/>
      <c r="Q106" s="11"/>
      <c r="R106" s="11"/>
      <c r="S106" s="13"/>
      <c r="T106" s="11"/>
      <c r="U106" s="11"/>
      <c r="V106" s="11"/>
      <c r="W106" s="11"/>
      <c r="X106" s="11"/>
      <c r="Y106" s="11"/>
      <c r="Z106" s="11"/>
    </row>
    <row r="107" s="14" customFormat="1" spans="1:26">
      <c r="A107" s="11"/>
      <c r="B107" s="11"/>
      <c r="C107" s="12"/>
      <c r="D107" s="43">
        <v>453312.49</v>
      </c>
      <c r="E107" s="43">
        <v>878933.68</v>
      </c>
      <c r="F107" s="43">
        <v>121026.6</v>
      </c>
      <c r="G107" s="43"/>
      <c r="H107" s="11"/>
      <c r="I107" s="11"/>
      <c r="J107" s="11"/>
      <c r="K107" s="11"/>
      <c r="L107" s="11"/>
      <c r="M107" s="11"/>
      <c r="N107" s="11"/>
      <c r="O107" s="11"/>
      <c r="P107" s="11"/>
      <c r="Q107" s="11"/>
      <c r="R107" s="11"/>
      <c r="S107" s="13"/>
      <c r="T107" s="11"/>
      <c r="U107" s="11"/>
      <c r="V107" s="11"/>
      <c r="W107" s="11"/>
      <c r="X107" s="11"/>
      <c r="Y107" s="11"/>
      <c r="Z107" s="11"/>
    </row>
    <row r="108" s="14" customFormat="1" spans="1:26">
      <c r="A108" s="11"/>
      <c r="B108" s="11"/>
      <c r="C108" s="12"/>
      <c r="D108" s="43">
        <v>445836.92</v>
      </c>
      <c r="E108" s="43">
        <v>842349.19</v>
      </c>
      <c r="F108" s="43">
        <v>123661.73</v>
      </c>
      <c r="G108" s="43"/>
      <c r="H108" s="11"/>
      <c r="I108" s="11"/>
      <c r="J108" s="11"/>
      <c r="K108" s="11"/>
      <c r="L108" s="11"/>
      <c r="M108" s="11"/>
      <c r="N108" s="11"/>
      <c r="O108" s="11"/>
      <c r="P108" s="11"/>
      <c r="Q108" s="11"/>
      <c r="R108" s="11"/>
      <c r="S108" s="13"/>
      <c r="T108" s="11"/>
      <c r="U108" s="11"/>
      <c r="V108" s="11"/>
      <c r="W108" s="11"/>
      <c r="X108" s="11"/>
      <c r="Y108" s="11"/>
      <c r="Z108" s="11"/>
    </row>
    <row r="109" s="14" customFormat="1" spans="1:26">
      <c r="A109" s="11"/>
      <c r="B109" s="11"/>
      <c r="C109" s="12"/>
      <c r="D109" s="43">
        <v>459889.67</v>
      </c>
      <c r="E109" s="43">
        <v>857853.17</v>
      </c>
      <c r="F109" s="43">
        <v>123420.66</v>
      </c>
      <c r="G109" s="43"/>
      <c r="H109" s="11"/>
      <c r="I109" s="11"/>
      <c r="J109" s="11"/>
      <c r="K109" s="11"/>
      <c r="L109" s="11"/>
      <c r="M109" s="11"/>
      <c r="N109" s="11"/>
      <c r="O109" s="11"/>
      <c r="P109" s="11"/>
      <c r="Q109" s="11"/>
      <c r="R109" s="11"/>
      <c r="S109" s="13"/>
      <c r="T109" s="11"/>
      <c r="U109" s="11"/>
      <c r="V109" s="11"/>
      <c r="W109" s="11"/>
      <c r="X109" s="11"/>
      <c r="Y109" s="11"/>
      <c r="Z109" s="11"/>
    </row>
    <row r="110" s="14" customFormat="1" spans="1:26">
      <c r="A110" s="11"/>
      <c r="B110" s="11"/>
      <c r="C110" s="12"/>
      <c r="D110" s="43">
        <v>457138.43</v>
      </c>
      <c r="E110" s="43">
        <v>890792.53</v>
      </c>
      <c r="F110" s="43">
        <v>128187.85</v>
      </c>
      <c r="G110" s="43"/>
      <c r="H110" s="11"/>
      <c r="I110" s="11"/>
      <c r="J110" s="11"/>
      <c r="K110" s="11"/>
      <c r="L110" s="11"/>
      <c r="M110" s="11"/>
      <c r="N110" s="11"/>
      <c r="O110" s="11"/>
      <c r="P110" s="11"/>
      <c r="Q110" s="11"/>
      <c r="R110" s="11"/>
      <c r="S110" s="13"/>
      <c r="T110" s="11"/>
      <c r="U110" s="11"/>
      <c r="V110" s="11"/>
      <c r="W110" s="11"/>
      <c r="X110" s="11"/>
      <c r="Y110" s="11"/>
      <c r="Z110" s="11"/>
    </row>
    <row r="111" s="14" customFormat="1" spans="1:26">
      <c r="A111" s="11"/>
      <c r="B111" s="11"/>
      <c r="C111" s="12"/>
      <c r="D111" s="11"/>
      <c r="E111" s="11"/>
      <c r="F111" s="11"/>
      <c r="G111" s="11"/>
      <c r="H111" s="11"/>
      <c r="I111" s="11"/>
      <c r="J111" s="11"/>
      <c r="K111" s="11"/>
      <c r="L111" s="11"/>
      <c r="M111" s="11"/>
      <c r="N111" s="11"/>
      <c r="O111" s="11"/>
      <c r="P111" s="11"/>
      <c r="Q111" s="11"/>
      <c r="R111" s="11"/>
      <c r="S111" s="13"/>
      <c r="T111" s="11"/>
      <c r="U111" s="11"/>
      <c r="V111" s="11"/>
      <c r="W111" s="11"/>
      <c r="X111" s="11"/>
      <c r="Y111" s="11"/>
      <c r="Z111" s="11"/>
    </row>
    <row r="112" s="14" customFormat="1" spans="1:26">
      <c r="A112" s="11"/>
      <c r="B112" s="11"/>
      <c r="C112" s="12"/>
      <c r="D112" s="11"/>
      <c r="E112" s="11"/>
      <c r="F112" s="11"/>
      <c r="G112" s="11"/>
      <c r="H112" s="11"/>
      <c r="I112" s="11"/>
      <c r="J112" s="11"/>
      <c r="K112" s="11"/>
      <c r="L112" s="11"/>
      <c r="M112" s="11"/>
      <c r="N112" s="11"/>
      <c r="O112" s="11"/>
      <c r="P112" s="11"/>
      <c r="Q112" s="11"/>
      <c r="R112" s="11"/>
      <c r="S112" s="13"/>
      <c r="T112" s="11"/>
      <c r="U112" s="11"/>
      <c r="V112" s="11"/>
      <c r="W112" s="11"/>
      <c r="X112" s="11"/>
      <c r="Y112" s="11"/>
      <c r="Z112" s="11"/>
    </row>
    <row r="113" s="14" customFormat="1" spans="1:26">
      <c r="A113" s="11"/>
      <c r="B113" s="11"/>
      <c r="C113" s="12"/>
      <c r="D113" s="11"/>
      <c r="E113" s="11"/>
      <c r="F113" s="11"/>
      <c r="G113" s="11"/>
      <c r="H113" s="11"/>
      <c r="I113" s="11"/>
      <c r="J113" s="11"/>
      <c r="K113" s="11"/>
      <c r="L113" s="11"/>
      <c r="M113" s="11"/>
      <c r="N113" s="11"/>
      <c r="O113" s="11"/>
      <c r="P113" s="11"/>
      <c r="Q113" s="11"/>
      <c r="R113" s="11"/>
      <c r="S113" s="13"/>
      <c r="T113" s="11"/>
      <c r="U113" s="11"/>
      <c r="V113" s="11"/>
      <c r="W113" s="11"/>
      <c r="X113" s="11"/>
      <c r="Y113" s="11"/>
      <c r="Z113" s="11"/>
    </row>
    <row r="114" s="14" customFormat="1" spans="1:26">
      <c r="A114" s="11"/>
      <c r="B114" s="11"/>
      <c r="C114" s="12"/>
      <c r="D114" s="11"/>
      <c r="E114" s="11"/>
      <c r="F114" s="11"/>
      <c r="G114" s="11"/>
      <c r="H114" s="11"/>
      <c r="I114" s="11"/>
      <c r="J114" s="11"/>
      <c r="K114" s="11"/>
      <c r="L114" s="11"/>
      <c r="M114" s="11"/>
      <c r="N114" s="11"/>
      <c r="O114" s="11"/>
      <c r="P114" s="11"/>
      <c r="Q114" s="11"/>
      <c r="R114" s="11"/>
      <c r="S114" s="13"/>
      <c r="T114" s="11"/>
      <c r="U114" s="11"/>
      <c r="V114" s="11"/>
      <c r="W114" s="11"/>
      <c r="X114" s="11"/>
      <c r="Y114" s="11"/>
      <c r="Z114" s="11"/>
    </row>
    <row r="115" s="14" customFormat="1" spans="1:26">
      <c r="A115" s="11"/>
      <c r="B115" s="11"/>
      <c r="C115" s="12"/>
      <c r="D115" s="11"/>
      <c r="E115" s="11"/>
      <c r="F115" s="11"/>
      <c r="G115" s="11"/>
      <c r="H115" s="11"/>
      <c r="I115" s="11"/>
      <c r="J115" s="11"/>
      <c r="K115" s="11"/>
      <c r="L115" s="11"/>
      <c r="M115" s="11"/>
      <c r="N115" s="11"/>
      <c r="O115" s="11"/>
      <c r="P115" s="11"/>
      <c r="Q115" s="11"/>
      <c r="R115" s="11"/>
      <c r="S115" s="13"/>
      <c r="T115" s="11"/>
      <c r="U115" s="11"/>
      <c r="V115" s="11"/>
      <c r="W115" s="11"/>
      <c r="X115" s="11"/>
      <c r="Y115" s="11"/>
      <c r="Z115" s="11"/>
    </row>
    <row r="116" s="14" customFormat="1" spans="1:26">
      <c r="A116" s="11"/>
      <c r="B116" s="11"/>
      <c r="C116" s="12"/>
      <c r="D116" s="11"/>
      <c r="E116" s="11"/>
      <c r="F116" s="11"/>
      <c r="G116" s="38"/>
      <c r="H116" s="11"/>
      <c r="I116" s="11"/>
      <c r="J116" s="11"/>
      <c r="K116" s="11"/>
      <c r="L116" s="11"/>
      <c r="M116" s="11"/>
      <c r="N116" s="11"/>
      <c r="O116" s="11"/>
      <c r="P116" s="11"/>
      <c r="Q116" s="11"/>
      <c r="R116" s="11"/>
      <c r="S116" s="13"/>
      <c r="T116" s="11"/>
      <c r="U116" s="11"/>
      <c r="V116" s="11"/>
      <c r="W116" s="11"/>
      <c r="X116" s="11"/>
      <c r="Y116" s="11"/>
      <c r="Z116" s="11"/>
    </row>
    <row r="117" s="14" customFormat="1" spans="1:26">
      <c r="A117" s="11"/>
      <c r="B117" s="11"/>
      <c r="C117" s="12"/>
      <c r="D117" s="11"/>
      <c r="E117" s="11"/>
      <c r="F117" s="11"/>
      <c r="G117" s="38"/>
      <c r="H117" s="11"/>
      <c r="I117" s="11"/>
      <c r="J117" s="11"/>
      <c r="K117" s="11"/>
      <c r="L117" s="11"/>
      <c r="M117" s="11"/>
      <c r="N117" s="11"/>
      <c r="O117" s="11"/>
      <c r="P117" s="11"/>
      <c r="Q117" s="11"/>
      <c r="R117" s="11"/>
      <c r="S117" s="13"/>
      <c r="T117" s="11"/>
      <c r="U117" s="11"/>
      <c r="V117" s="11"/>
      <c r="W117" s="11"/>
      <c r="X117" s="11"/>
      <c r="Y117" s="11"/>
      <c r="Z117" s="11"/>
    </row>
    <row r="118" s="14" customFormat="1" spans="1:26">
      <c r="A118" s="11"/>
      <c r="B118" s="11"/>
      <c r="C118" s="12"/>
      <c r="D118" s="11"/>
      <c r="E118" s="11"/>
      <c r="F118" s="11"/>
      <c r="G118" s="38"/>
      <c r="H118" s="11"/>
      <c r="I118" s="11"/>
      <c r="J118" s="11"/>
      <c r="K118" s="11"/>
      <c r="L118" s="11"/>
      <c r="M118" s="11"/>
      <c r="N118" s="11"/>
      <c r="O118" s="11"/>
      <c r="P118" s="11"/>
      <c r="Q118" s="11"/>
      <c r="R118" s="11"/>
      <c r="S118" s="13"/>
      <c r="T118" s="11"/>
      <c r="U118" s="11"/>
      <c r="V118" s="11"/>
      <c r="W118" s="11"/>
      <c r="X118" s="11"/>
      <c r="Y118" s="11"/>
      <c r="Z118" s="11"/>
    </row>
    <row r="119" s="14" customFormat="1" spans="1:26">
      <c r="A119" s="11"/>
      <c r="B119" s="11"/>
      <c r="C119" s="12"/>
      <c r="D119" s="11"/>
      <c r="E119" s="11"/>
      <c r="F119" s="11"/>
      <c r="G119" s="38"/>
      <c r="H119" s="11"/>
      <c r="I119" s="11"/>
      <c r="J119" s="11"/>
      <c r="K119" s="11"/>
      <c r="L119" s="11"/>
      <c r="M119" s="11"/>
      <c r="N119" s="11"/>
      <c r="O119" s="11"/>
      <c r="P119" s="11"/>
      <c r="Q119" s="11"/>
      <c r="R119" s="11"/>
      <c r="S119" s="13"/>
      <c r="T119" s="11"/>
      <c r="U119" s="11"/>
      <c r="V119" s="11"/>
      <c r="W119" s="11"/>
      <c r="X119" s="11"/>
      <c r="Y119" s="11"/>
      <c r="Z119" s="11"/>
    </row>
    <row r="120" s="14" customFormat="1" spans="1:26">
      <c r="A120" s="11"/>
      <c r="B120" s="11"/>
      <c r="C120" s="12"/>
      <c r="D120" s="11"/>
      <c r="E120" s="11"/>
      <c r="F120" s="11"/>
      <c r="G120" s="38"/>
      <c r="H120" s="11"/>
      <c r="I120" s="11"/>
      <c r="J120" s="11"/>
      <c r="K120" s="11"/>
      <c r="L120" s="11"/>
      <c r="M120" s="11"/>
      <c r="N120" s="11"/>
      <c r="O120" s="11"/>
      <c r="P120" s="11"/>
      <c r="Q120" s="11"/>
      <c r="R120" s="11"/>
      <c r="S120" s="13"/>
      <c r="T120" s="11"/>
      <c r="U120" s="11"/>
      <c r="V120" s="11"/>
      <c r="W120" s="11"/>
      <c r="X120" s="11"/>
      <c r="Y120" s="11"/>
      <c r="Z120" s="11"/>
    </row>
    <row r="121" s="14" customFormat="1" spans="1:26">
      <c r="A121" s="11"/>
      <c r="B121" s="11"/>
      <c r="C121" s="12"/>
      <c r="D121" s="11"/>
      <c r="E121" s="11"/>
      <c r="F121" s="11"/>
      <c r="G121" s="38"/>
      <c r="H121" s="11"/>
      <c r="I121" s="11"/>
      <c r="J121" s="11"/>
      <c r="K121" s="11"/>
      <c r="L121" s="11"/>
      <c r="M121" s="11"/>
      <c r="N121" s="11"/>
      <c r="O121" s="11"/>
      <c r="P121" s="11"/>
      <c r="Q121" s="11"/>
      <c r="R121" s="11"/>
      <c r="S121" s="13"/>
      <c r="T121" s="11"/>
      <c r="U121" s="11"/>
      <c r="V121" s="11"/>
      <c r="W121" s="11"/>
      <c r="X121" s="11"/>
      <c r="Y121" s="11"/>
      <c r="Z121" s="11"/>
    </row>
    <row r="122" s="14" customFormat="1" spans="1:26">
      <c r="A122" s="11"/>
      <c r="B122" s="11"/>
      <c r="C122" s="12"/>
      <c r="D122" s="11"/>
      <c r="E122" s="11"/>
      <c r="F122" s="11"/>
      <c r="G122" s="38"/>
      <c r="H122" s="11"/>
      <c r="I122" s="11"/>
      <c r="J122" s="11"/>
      <c r="K122" s="11"/>
      <c r="L122" s="11"/>
      <c r="M122" s="11"/>
      <c r="N122" s="11"/>
      <c r="O122" s="11"/>
      <c r="P122" s="11"/>
      <c r="Q122" s="11"/>
      <c r="R122" s="11"/>
      <c r="S122" s="13"/>
      <c r="T122" s="11"/>
      <c r="U122" s="11"/>
      <c r="V122" s="11"/>
      <c r="W122" s="11"/>
      <c r="X122" s="11"/>
      <c r="Y122" s="11"/>
      <c r="Z122" s="11"/>
    </row>
    <row r="123" s="14" customFormat="1" spans="1:26">
      <c r="A123" s="11"/>
      <c r="B123" s="11"/>
      <c r="C123" s="12"/>
      <c r="D123" s="11"/>
      <c r="E123" s="11"/>
      <c r="F123" s="11"/>
      <c r="G123" s="38"/>
      <c r="H123" s="11"/>
      <c r="I123" s="11"/>
      <c r="J123" s="11"/>
      <c r="K123" s="11"/>
      <c r="L123" s="11"/>
      <c r="M123" s="11"/>
      <c r="N123" s="11"/>
      <c r="O123" s="11"/>
      <c r="P123" s="11"/>
      <c r="Q123" s="11"/>
      <c r="R123" s="11"/>
      <c r="S123" s="13"/>
      <c r="T123" s="11"/>
      <c r="U123" s="11"/>
      <c r="V123" s="11"/>
      <c r="W123" s="11"/>
      <c r="X123" s="11"/>
      <c r="Y123" s="11"/>
      <c r="Z123" s="11"/>
    </row>
    <row r="124" s="14" customFormat="1" spans="1:26">
      <c r="A124" s="11"/>
      <c r="B124" s="11"/>
      <c r="C124" s="12"/>
      <c r="D124" s="11"/>
      <c r="E124" s="11"/>
      <c r="F124" s="11"/>
      <c r="G124" s="38"/>
      <c r="H124" s="11"/>
      <c r="I124" s="11"/>
      <c r="J124" s="11"/>
      <c r="K124" s="11"/>
      <c r="L124" s="11"/>
      <c r="M124" s="11"/>
      <c r="N124" s="11"/>
      <c r="O124" s="11"/>
      <c r="P124" s="11"/>
      <c r="Q124" s="11"/>
      <c r="R124" s="11"/>
      <c r="S124" s="13"/>
      <c r="T124" s="11"/>
      <c r="U124" s="11"/>
      <c r="V124" s="11"/>
      <c r="W124" s="11"/>
      <c r="X124" s="11"/>
      <c r="Y124" s="11"/>
      <c r="Z124" s="11"/>
    </row>
    <row r="125" s="14" customFormat="1" spans="1:26">
      <c r="A125" s="11"/>
      <c r="B125" s="11"/>
      <c r="C125" s="12"/>
      <c r="D125" s="11"/>
      <c r="E125" s="11"/>
      <c r="F125" s="11"/>
      <c r="G125" s="38"/>
      <c r="H125" s="11"/>
      <c r="I125" s="11"/>
      <c r="J125" s="11"/>
      <c r="K125" s="11"/>
      <c r="L125" s="11"/>
      <c r="M125" s="11"/>
      <c r="N125" s="11"/>
      <c r="O125" s="11"/>
      <c r="P125" s="11"/>
      <c r="Q125" s="11"/>
      <c r="R125" s="11"/>
      <c r="S125" s="13"/>
      <c r="T125" s="11"/>
      <c r="U125" s="11"/>
      <c r="V125" s="11"/>
      <c r="W125" s="11"/>
      <c r="X125" s="11"/>
      <c r="Y125" s="11"/>
      <c r="Z125" s="11"/>
    </row>
    <row r="126" s="14" customFormat="1" spans="1:26">
      <c r="A126" s="11"/>
      <c r="B126" s="11"/>
      <c r="C126" s="12"/>
      <c r="D126" s="11"/>
      <c r="E126" s="11"/>
      <c r="F126" s="11"/>
      <c r="G126" s="38"/>
      <c r="H126" s="11"/>
      <c r="I126" s="11"/>
      <c r="J126" s="11"/>
      <c r="K126" s="11"/>
      <c r="L126" s="11"/>
      <c r="M126" s="11"/>
      <c r="N126" s="11"/>
      <c r="O126" s="11"/>
      <c r="P126" s="11"/>
      <c r="Q126" s="11"/>
      <c r="R126" s="11"/>
      <c r="S126" s="13"/>
      <c r="T126" s="11"/>
      <c r="U126" s="11"/>
      <c r="V126" s="11"/>
      <c r="W126" s="11"/>
      <c r="X126" s="11"/>
      <c r="Y126" s="11"/>
      <c r="Z126" s="11"/>
    </row>
    <row r="127" s="14" customFormat="1" spans="1:26">
      <c r="A127" s="11"/>
      <c r="B127" s="11"/>
      <c r="C127" s="12"/>
      <c r="D127" s="11"/>
      <c r="E127" s="11"/>
      <c r="F127" s="11"/>
      <c r="G127" s="38"/>
      <c r="H127" s="11"/>
      <c r="I127" s="11"/>
      <c r="J127" s="11"/>
      <c r="K127" s="11"/>
      <c r="L127" s="11"/>
      <c r="M127" s="11"/>
      <c r="N127" s="11"/>
      <c r="O127" s="11"/>
      <c r="P127" s="11"/>
      <c r="Q127" s="11"/>
      <c r="R127" s="11"/>
      <c r="S127" s="13"/>
      <c r="T127" s="11"/>
      <c r="U127" s="11"/>
      <c r="V127" s="11"/>
      <c r="W127" s="11"/>
      <c r="X127" s="11"/>
      <c r="Y127" s="11"/>
      <c r="Z127" s="11"/>
    </row>
    <row r="128" s="14" customFormat="1" spans="1:26">
      <c r="A128" s="11"/>
      <c r="B128" s="11"/>
      <c r="C128" s="12"/>
      <c r="D128" s="11"/>
      <c r="E128" s="11"/>
      <c r="F128" s="11"/>
      <c r="G128" s="38"/>
      <c r="H128" s="11"/>
      <c r="I128" s="11"/>
      <c r="J128" s="11"/>
      <c r="K128" s="11"/>
      <c r="L128" s="11"/>
      <c r="M128" s="11"/>
      <c r="N128" s="11"/>
      <c r="O128" s="11"/>
      <c r="P128" s="11"/>
      <c r="Q128" s="11"/>
      <c r="R128" s="11"/>
      <c r="S128" s="13"/>
      <c r="T128" s="11"/>
      <c r="U128" s="11"/>
      <c r="V128" s="11"/>
      <c r="W128" s="11"/>
      <c r="X128" s="11"/>
      <c r="Y128" s="11"/>
      <c r="Z128" s="11"/>
    </row>
  </sheetData>
  <autoFilter ref="A4:Z78"/>
  <mergeCells count="22">
    <mergeCell ref="A1:H1"/>
    <mergeCell ref="D2:H2"/>
    <mergeCell ref="A2:A3"/>
    <mergeCell ref="B2:B4"/>
    <mergeCell ref="C2:C4"/>
    <mergeCell ref="D3:D4"/>
    <mergeCell ref="E3:E4"/>
    <mergeCell ref="F3:F4"/>
    <mergeCell ref="G3:G4"/>
    <mergeCell ref="H3:H4"/>
    <mergeCell ref="I2:I4"/>
    <mergeCell ref="J2:J4"/>
    <mergeCell ref="K2:K4"/>
    <mergeCell ref="L2:L4"/>
    <mergeCell ref="M2:M4"/>
    <mergeCell ref="N2:N4"/>
    <mergeCell ref="O2:O4"/>
    <mergeCell ref="P2:P4"/>
    <mergeCell ref="Q2:Q4"/>
    <mergeCell ref="R2:R4"/>
    <mergeCell ref="S1:S4"/>
    <mergeCell ref="T2:T4"/>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1:X128"/>
  <sheetViews>
    <sheetView zoomScale="70" zoomScaleNormal="70" workbookViewId="0">
      <pane xSplit="3" ySplit="4" topLeftCell="I65" activePane="bottomRight" state="frozen"/>
      <selection/>
      <selection pane="topRight"/>
      <selection pane="bottomLeft"/>
      <selection pane="bottomRight" activeCell="J71" sqref="J71"/>
    </sheetView>
  </sheetViews>
  <sheetFormatPr defaultColWidth="9" defaultRowHeight="13.5"/>
  <cols>
    <col min="1" max="1" width="8.25" style="11" customWidth="1"/>
    <col min="2" max="2" width="11.125" style="11" customWidth="1"/>
    <col min="3" max="3" width="33.375" style="12" customWidth="1"/>
    <col min="4" max="7" width="17.375" style="11" customWidth="1"/>
    <col min="8" max="16" width="19.875" style="11" customWidth="1"/>
    <col min="17" max="17" width="17.75" style="13" customWidth="1"/>
    <col min="18" max="18" width="19.75" style="11" hidden="1" customWidth="1"/>
    <col min="19" max="19" width="19.75" style="11" customWidth="1"/>
    <col min="20" max="24" width="10.125" style="11" customWidth="1"/>
    <col min="25" max="16374" width="9" style="14"/>
  </cols>
  <sheetData>
    <row r="1" s="14" customFormat="1" ht="36.75" customHeight="1" spans="1:24">
      <c r="A1" s="15" t="s">
        <v>59</v>
      </c>
      <c r="B1" s="15"/>
      <c r="C1" s="15"/>
      <c r="D1" s="15"/>
      <c r="E1" s="15"/>
      <c r="F1" s="15"/>
      <c r="G1" s="15"/>
      <c r="H1" s="15"/>
      <c r="I1" s="47" t="s">
        <v>36</v>
      </c>
      <c r="J1" s="47" t="s">
        <v>36</v>
      </c>
      <c r="K1" s="47" t="s">
        <v>38</v>
      </c>
      <c r="L1" s="47" t="s">
        <v>38</v>
      </c>
      <c r="M1" s="47" t="s">
        <v>40</v>
      </c>
      <c r="N1" s="47" t="s">
        <v>40</v>
      </c>
      <c r="O1" s="47" t="s">
        <v>42</v>
      </c>
      <c r="P1" s="47" t="s">
        <v>42</v>
      </c>
      <c r="Q1" s="17" t="s">
        <v>2</v>
      </c>
      <c r="R1" s="27"/>
      <c r="S1" s="27"/>
      <c r="T1" s="11"/>
      <c r="U1" s="11"/>
      <c r="V1" s="11"/>
      <c r="W1" s="11"/>
      <c r="X1" s="11"/>
    </row>
    <row r="2" s="14" customFormat="1" ht="21.95" customHeight="1" spans="1:24">
      <c r="A2" s="16" t="s">
        <v>3</v>
      </c>
      <c r="B2" s="16" t="s">
        <v>4</v>
      </c>
      <c r="C2" s="17" t="s">
        <v>5</v>
      </c>
      <c r="D2" s="16" t="s">
        <v>6</v>
      </c>
      <c r="E2" s="16"/>
      <c r="F2" s="16"/>
      <c r="G2" s="16"/>
      <c r="H2" s="16"/>
      <c r="I2" s="17" t="s">
        <v>60</v>
      </c>
      <c r="J2" s="17" t="s">
        <v>61</v>
      </c>
      <c r="K2" s="17" t="s">
        <v>62</v>
      </c>
      <c r="L2" s="17" t="s">
        <v>63</v>
      </c>
      <c r="M2" s="17" t="s">
        <v>64</v>
      </c>
      <c r="N2" s="17" t="s">
        <v>65</v>
      </c>
      <c r="O2" s="17" t="s">
        <v>66</v>
      </c>
      <c r="P2" s="17" t="s">
        <v>67</v>
      </c>
      <c r="Q2" s="17"/>
      <c r="R2" s="28" t="s">
        <v>2</v>
      </c>
      <c r="S2" s="29"/>
      <c r="T2" s="11"/>
      <c r="U2" s="11"/>
      <c r="V2" s="11"/>
      <c r="W2" s="11"/>
      <c r="X2" s="11"/>
    </row>
    <row r="3" s="14" customFormat="1" ht="24" customHeight="1" spans="1:24">
      <c r="A3" s="16"/>
      <c r="B3" s="16"/>
      <c r="C3" s="17"/>
      <c r="D3" s="17" t="s">
        <v>22</v>
      </c>
      <c r="E3" s="16" t="s">
        <v>23</v>
      </c>
      <c r="F3" s="16" t="s">
        <v>24</v>
      </c>
      <c r="G3" s="16" t="s">
        <v>25</v>
      </c>
      <c r="H3" s="16" t="s">
        <v>2</v>
      </c>
      <c r="I3" s="17"/>
      <c r="J3" s="17"/>
      <c r="K3" s="17"/>
      <c r="L3" s="17"/>
      <c r="M3" s="17"/>
      <c r="N3" s="17"/>
      <c r="O3" s="17"/>
      <c r="P3" s="17"/>
      <c r="Q3" s="17"/>
      <c r="R3" s="30"/>
      <c r="S3" s="29"/>
      <c r="T3" s="11"/>
      <c r="U3" s="11"/>
      <c r="V3" s="11"/>
      <c r="W3" s="11"/>
      <c r="X3" s="11"/>
    </row>
    <row r="4" s="14" customFormat="1" ht="24" customHeight="1" spans="1:24">
      <c r="A4" s="16" t="s">
        <v>26</v>
      </c>
      <c r="B4" s="16"/>
      <c r="C4" s="17"/>
      <c r="D4" s="17"/>
      <c r="E4" s="16"/>
      <c r="F4" s="16"/>
      <c r="G4" s="16"/>
      <c r="H4" s="16"/>
      <c r="I4" s="17"/>
      <c r="J4" s="17"/>
      <c r="K4" s="17"/>
      <c r="L4" s="17"/>
      <c r="M4" s="17"/>
      <c r="N4" s="17"/>
      <c r="O4" s="17"/>
      <c r="P4" s="17"/>
      <c r="Q4" s="17"/>
      <c r="R4" s="31"/>
      <c r="S4" s="29"/>
      <c r="T4" s="11" t="s">
        <v>53</v>
      </c>
      <c r="U4" s="11" t="s">
        <v>54</v>
      </c>
      <c r="V4" s="11" t="s">
        <v>55</v>
      </c>
      <c r="W4" s="11" t="s">
        <v>24</v>
      </c>
      <c r="X4" s="11" t="s">
        <v>25</v>
      </c>
    </row>
    <row r="5" s="14" customFormat="1" ht="16.5" customHeight="1" spans="1:24">
      <c r="A5" s="6">
        <v>1</v>
      </c>
      <c r="B5" s="6">
        <v>38</v>
      </c>
      <c r="C5" s="18" t="s">
        <v>27</v>
      </c>
      <c r="D5" s="19">
        <v>581007.36</v>
      </c>
      <c r="E5" s="19"/>
      <c r="F5" s="19"/>
      <c r="G5" s="19"/>
      <c r="H5" s="20">
        <v>581007.36</v>
      </c>
      <c r="I5" s="20">
        <f t="shared" ref="I5:I8" si="0">H5*0.41</f>
        <v>238213.0176</v>
      </c>
      <c r="J5" s="20">
        <f t="shared" ref="J5:J8" si="1">H5-I5</f>
        <v>342794.3424</v>
      </c>
      <c r="K5" s="20"/>
      <c r="L5" s="20"/>
      <c r="M5" s="20"/>
      <c r="N5" s="20"/>
      <c r="O5" s="20"/>
      <c r="P5" s="26"/>
      <c r="Q5" s="26">
        <f t="shared" ref="Q5:Q68" si="2">SUM(I5:P5)</f>
        <v>581007.36</v>
      </c>
      <c r="R5" s="24" t="e">
        <f>SUM(#REF!)</f>
        <v>#REF!</v>
      </c>
      <c r="S5" s="32">
        <f>B5+21</f>
        <v>59</v>
      </c>
      <c r="T5" s="11">
        <v>1</v>
      </c>
      <c r="U5" s="11"/>
      <c r="V5" s="11">
        <v>1</v>
      </c>
      <c r="W5" s="11"/>
      <c r="X5" s="11"/>
    </row>
    <row r="6" s="14" customFormat="1" ht="16.5" customHeight="1" spans="1:24">
      <c r="A6" s="6">
        <v>1</v>
      </c>
      <c r="B6" s="6">
        <v>87</v>
      </c>
      <c r="C6" s="18" t="s">
        <v>28</v>
      </c>
      <c r="D6" s="19"/>
      <c r="E6" s="19">
        <v>813110.36</v>
      </c>
      <c r="F6" s="19"/>
      <c r="G6" s="19"/>
      <c r="H6" s="20">
        <v>813110.36</v>
      </c>
      <c r="I6" s="20">
        <f>H6*0.41</f>
        <v>333375.2476</v>
      </c>
      <c r="J6" s="20">
        <f>H6-I6</f>
        <v>479735.1124</v>
      </c>
      <c r="K6" s="20"/>
      <c r="L6" s="20"/>
      <c r="M6" s="20"/>
      <c r="N6" s="20"/>
      <c r="O6" s="20"/>
      <c r="P6" s="26"/>
      <c r="Q6" s="26">
        <f>SUM(I6:P6)</f>
        <v>813110.36</v>
      </c>
      <c r="R6" s="24" t="e">
        <f>SUM(#REF!)</f>
        <v>#REF!</v>
      </c>
      <c r="S6" s="32">
        <f t="shared" ref="S6:S37" si="3">B6+21</f>
        <v>108</v>
      </c>
      <c r="T6" s="11">
        <v>2</v>
      </c>
      <c r="U6" s="11">
        <v>1</v>
      </c>
      <c r="V6" s="11"/>
      <c r="W6" s="11"/>
      <c r="X6" s="11"/>
    </row>
    <row r="7" s="14" customFormat="1" ht="16.5" customHeight="1" spans="1:24">
      <c r="A7" s="6">
        <v>1</v>
      </c>
      <c r="B7" s="6">
        <v>83</v>
      </c>
      <c r="C7" s="18" t="s">
        <v>29</v>
      </c>
      <c r="D7" s="19"/>
      <c r="E7" s="19"/>
      <c r="F7" s="19">
        <v>127920</v>
      </c>
      <c r="G7" s="19"/>
      <c r="H7" s="20">
        <v>127920</v>
      </c>
      <c r="I7" s="20">
        <f>H7*0.41</f>
        <v>52447.2</v>
      </c>
      <c r="J7" s="20">
        <f>H7-I7</f>
        <v>75472.8</v>
      </c>
      <c r="K7" s="20"/>
      <c r="L7" s="20"/>
      <c r="M7" s="20"/>
      <c r="N7" s="20"/>
      <c r="O7" s="20"/>
      <c r="P7" s="26"/>
      <c r="Q7" s="26">
        <f>SUM(I7:P7)</f>
        <v>127920</v>
      </c>
      <c r="R7" s="24" t="e">
        <f>SUM(#REF!)</f>
        <v>#REF!</v>
      </c>
      <c r="S7" s="32">
        <f>B7+21</f>
        <v>104</v>
      </c>
      <c r="T7" s="11">
        <v>3</v>
      </c>
      <c r="U7" s="11"/>
      <c r="V7" s="11"/>
      <c r="W7" s="11">
        <v>1</v>
      </c>
      <c r="X7" s="11"/>
    </row>
    <row r="8" s="14" customFormat="1" ht="16.5" customHeight="1" spans="1:24">
      <c r="A8" s="6">
        <v>1</v>
      </c>
      <c r="B8" s="6">
        <v>100</v>
      </c>
      <c r="C8" s="18" t="s">
        <v>30</v>
      </c>
      <c r="D8" s="19"/>
      <c r="E8" s="19"/>
      <c r="F8" s="19"/>
      <c r="G8" s="19">
        <v>4627.79</v>
      </c>
      <c r="H8" s="20">
        <v>4627.79</v>
      </c>
      <c r="I8" s="20">
        <f>H8*0.41</f>
        <v>1897.3939</v>
      </c>
      <c r="J8" s="20">
        <f>H8-I8</f>
        <v>2730.3961</v>
      </c>
      <c r="K8" s="20"/>
      <c r="L8" s="20"/>
      <c r="M8" s="20"/>
      <c r="N8" s="20"/>
      <c r="O8" s="20"/>
      <c r="P8" s="26"/>
      <c r="Q8" s="26">
        <f>SUM(I8:P8)</f>
        <v>4627.79</v>
      </c>
      <c r="R8" s="24" t="e">
        <f>SUM(#REF!)</f>
        <v>#REF!</v>
      </c>
      <c r="S8" s="32">
        <f>B8+21</f>
        <v>121</v>
      </c>
      <c r="T8" s="11">
        <v>4</v>
      </c>
      <c r="U8" s="11"/>
      <c r="V8" s="11"/>
      <c r="W8" s="11"/>
      <c r="X8" s="11">
        <v>1</v>
      </c>
    </row>
    <row r="9" s="9" customFormat="1" ht="16.5" customHeight="1" spans="1:24">
      <c r="A9" s="21"/>
      <c r="B9" s="6"/>
      <c r="C9" s="5" t="s">
        <v>31</v>
      </c>
      <c r="D9" s="22">
        <v>581007.36</v>
      </c>
      <c r="E9" s="22">
        <v>813110.36</v>
      </c>
      <c r="F9" s="22">
        <v>127920</v>
      </c>
      <c r="G9" s="22">
        <v>4627.79</v>
      </c>
      <c r="H9" s="23">
        <v>1526665.51</v>
      </c>
      <c r="I9" s="20"/>
      <c r="J9" s="20"/>
      <c r="K9" s="20"/>
      <c r="L9" s="20"/>
      <c r="M9" s="20"/>
      <c r="N9" s="20"/>
      <c r="O9" s="20"/>
      <c r="P9" s="26"/>
      <c r="Q9" s="26"/>
      <c r="R9" s="24" t="e">
        <f>SUM(#REF!)</f>
        <v>#REF!</v>
      </c>
      <c r="S9" s="32">
        <f>B9+21</f>
        <v>21</v>
      </c>
      <c r="T9" s="11">
        <v>5</v>
      </c>
      <c r="U9" s="10"/>
      <c r="V9" s="10"/>
      <c r="W9" s="10"/>
      <c r="X9" s="10"/>
    </row>
    <row r="10" s="9" customFormat="1" ht="16.5" customHeight="1" spans="1:24">
      <c r="A10" s="21"/>
      <c r="B10" s="6"/>
      <c r="C10" s="5" t="s">
        <v>32</v>
      </c>
      <c r="D10" s="22">
        <v>581007.36</v>
      </c>
      <c r="E10" s="22">
        <v>813110.36</v>
      </c>
      <c r="F10" s="22">
        <v>127920</v>
      </c>
      <c r="G10" s="22">
        <v>4627.79</v>
      </c>
      <c r="H10" s="23">
        <v>1526665.51</v>
      </c>
      <c r="I10" s="20"/>
      <c r="J10" s="20"/>
      <c r="K10" s="20"/>
      <c r="L10" s="20"/>
      <c r="M10" s="20"/>
      <c r="N10" s="20"/>
      <c r="O10" s="20"/>
      <c r="P10" s="26"/>
      <c r="Q10" s="26"/>
      <c r="R10" s="24" t="e">
        <f>SUM(#REF!)</f>
        <v>#REF!</v>
      </c>
      <c r="S10" s="32">
        <f>B10+21</f>
        <v>21</v>
      </c>
      <c r="T10" s="11">
        <v>6</v>
      </c>
      <c r="U10" s="10"/>
      <c r="V10" s="10"/>
      <c r="W10" s="10"/>
      <c r="X10" s="10"/>
    </row>
    <row r="11" s="14" customFormat="1" ht="16.5" customHeight="1" spans="1:24">
      <c r="A11" s="6">
        <v>2</v>
      </c>
      <c r="B11" s="6">
        <v>35</v>
      </c>
      <c r="C11" s="18" t="s">
        <v>27</v>
      </c>
      <c r="D11" s="19">
        <v>566278.19</v>
      </c>
      <c r="E11" s="19"/>
      <c r="F11" s="19"/>
      <c r="G11" s="19"/>
      <c r="H11" s="20">
        <v>566278.19</v>
      </c>
      <c r="I11" s="20">
        <f t="shared" ref="I11:I14" si="4">H11*0.401</f>
        <v>227077.55419</v>
      </c>
      <c r="J11" s="20">
        <f t="shared" ref="J11:J14" si="5">H11-I11</f>
        <v>339200.63581</v>
      </c>
      <c r="K11" s="20"/>
      <c r="L11" s="20"/>
      <c r="M11" s="20"/>
      <c r="N11" s="20"/>
      <c r="O11" s="20"/>
      <c r="P11" s="26"/>
      <c r="Q11" s="26">
        <f>SUM(I11:P11)</f>
        <v>566278.19</v>
      </c>
      <c r="R11" s="24" t="e">
        <f>SUM(#REF!)</f>
        <v>#REF!</v>
      </c>
      <c r="S11" s="32">
        <f>B11+21</f>
        <v>56</v>
      </c>
      <c r="T11" s="11">
        <v>7</v>
      </c>
      <c r="U11" s="11"/>
      <c r="V11" s="11">
        <v>2</v>
      </c>
      <c r="W11" s="11"/>
      <c r="X11" s="11"/>
    </row>
    <row r="12" s="14" customFormat="1" ht="16.5" customHeight="1" spans="1:24">
      <c r="A12" s="6">
        <v>2</v>
      </c>
      <c r="B12" s="6">
        <v>54</v>
      </c>
      <c r="C12" s="18" t="s">
        <v>28</v>
      </c>
      <c r="D12" s="19"/>
      <c r="E12" s="19">
        <v>804442.17</v>
      </c>
      <c r="F12" s="19"/>
      <c r="G12" s="19"/>
      <c r="H12" s="20">
        <v>804442.17</v>
      </c>
      <c r="I12" s="20">
        <f>H12*0.401</f>
        <v>322581.31017</v>
      </c>
      <c r="J12" s="20">
        <f>H12-I12</f>
        <v>481860.85983</v>
      </c>
      <c r="K12" s="20"/>
      <c r="L12" s="20"/>
      <c r="M12" s="20"/>
      <c r="N12" s="20"/>
      <c r="O12" s="20"/>
      <c r="P12" s="26"/>
      <c r="Q12" s="26">
        <f>SUM(I12:P12)</f>
        <v>804442.17</v>
      </c>
      <c r="R12" s="24" t="e">
        <f>SUM(#REF!)</f>
        <v>#REF!</v>
      </c>
      <c r="S12" s="32">
        <f>B12+21</f>
        <v>75</v>
      </c>
      <c r="T12" s="11">
        <v>8</v>
      </c>
      <c r="U12" s="11">
        <v>2</v>
      </c>
      <c r="V12" s="11"/>
      <c r="W12" s="11"/>
      <c r="X12" s="11"/>
    </row>
    <row r="13" s="14" customFormat="1" ht="16.5" customHeight="1" spans="1:24">
      <c r="A13" s="6">
        <v>2</v>
      </c>
      <c r="B13" s="6">
        <v>55</v>
      </c>
      <c r="C13" s="18" t="s">
        <v>29</v>
      </c>
      <c r="D13" s="19"/>
      <c r="E13" s="19"/>
      <c r="F13" s="19">
        <v>128597.27</v>
      </c>
      <c r="G13" s="19"/>
      <c r="H13" s="20">
        <v>128597.27</v>
      </c>
      <c r="I13" s="20">
        <f>H13*0.401</f>
        <v>51567.50527</v>
      </c>
      <c r="J13" s="20">
        <f>H13-I13</f>
        <v>77029.76473</v>
      </c>
      <c r="K13" s="20"/>
      <c r="L13" s="20"/>
      <c r="M13" s="20"/>
      <c r="N13" s="20"/>
      <c r="O13" s="20"/>
      <c r="P13" s="26"/>
      <c r="Q13" s="26">
        <f>SUM(I13:P13)</f>
        <v>128597.27</v>
      </c>
      <c r="R13" s="24" t="e">
        <f>SUM(#REF!)</f>
        <v>#REF!</v>
      </c>
      <c r="S13" s="32">
        <f>B13+21</f>
        <v>76</v>
      </c>
      <c r="T13" s="11">
        <v>9</v>
      </c>
      <c r="U13" s="11"/>
      <c r="V13" s="11"/>
      <c r="W13" s="11">
        <v>2</v>
      </c>
      <c r="X13" s="11"/>
    </row>
    <row r="14" s="14" customFormat="1" ht="16.5" customHeight="1" spans="1:24">
      <c r="A14" s="6">
        <v>2</v>
      </c>
      <c r="B14" s="6">
        <v>65</v>
      </c>
      <c r="C14" s="18" t="s">
        <v>30</v>
      </c>
      <c r="D14" s="19"/>
      <c r="E14" s="19"/>
      <c r="F14" s="19"/>
      <c r="G14" s="19">
        <v>4454.86</v>
      </c>
      <c r="H14" s="20">
        <v>4454.86</v>
      </c>
      <c r="I14" s="20">
        <f>H14*0.401</f>
        <v>1786.39886</v>
      </c>
      <c r="J14" s="20">
        <f>H14-I14</f>
        <v>2668.46114</v>
      </c>
      <c r="K14" s="20"/>
      <c r="L14" s="20"/>
      <c r="M14" s="20"/>
      <c r="N14" s="20"/>
      <c r="O14" s="20"/>
      <c r="P14" s="26"/>
      <c r="Q14" s="26">
        <f>SUM(I14:P14)</f>
        <v>4454.86</v>
      </c>
      <c r="R14" s="24"/>
      <c r="S14" s="32">
        <f>B14+21</f>
        <v>86</v>
      </c>
      <c r="T14" s="11"/>
      <c r="U14" s="11"/>
      <c r="V14" s="11"/>
      <c r="W14" s="11"/>
      <c r="X14" s="11"/>
    </row>
    <row r="15" s="9" customFormat="1" ht="16.5" customHeight="1" spans="1:24">
      <c r="A15" s="21"/>
      <c r="B15" s="6"/>
      <c r="C15" s="5" t="s">
        <v>31</v>
      </c>
      <c r="D15" s="22">
        <v>566278.19</v>
      </c>
      <c r="E15" s="22">
        <v>804442.17</v>
      </c>
      <c r="F15" s="22">
        <v>128597.27</v>
      </c>
      <c r="G15" s="22">
        <v>4454.86</v>
      </c>
      <c r="H15" s="22">
        <v>1503772.49</v>
      </c>
      <c r="I15" s="20"/>
      <c r="J15" s="20"/>
      <c r="K15" s="20"/>
      <c r="L15" s="20"/>
      <c r="M15" s="20"/>
      <c r="N15" s="20"/>
      <c r="O15" s="20"/>
      <c r="P15" s="26"/>
      <c r="Q15" s="26"/>
      <c r="R15" s="24" t="e">
        <f>SUM(#REF!)</f>
        <v>#REF!</v>
      </c>
      <c r="S15" s="32">
        <f>B15+21</f>
        <v>21</v>
      </c>
      <c r="T15" s="11">
        <v>10</v>
      </c>
      <c r="U15" s="10"/>
      <c r="V15" s="10"/>
      <c r="W15" s="10"/>
      <c r="X15" s="10"/>
    </row>
    <row r="16" s="9" customFormat="1" ht="16.5" customHeight="1" spans="1:24">
      <c r="A16" s="21"/>
      <c r="B16" s="6"/>
      <c r="C16" s="5" t="s">
        <v>32</v>
      </c>
      <c r="D16" s="22">
        <v>1147285.55</v>
      </c>
      <c r="E16" s="22">
        <v>1617552.53</v>
      </c>
      <c r="F16" s="22">
        <v>256517.27</v>
      </c>
      <c r="G16" s="22">
        <v>9082.65</v>
      </c>
      <c r="H16" s="23">
        <v>3030438</v>
      </c>
      <c r="I16" s="20"/>
      <c r="J16" s="20"/>
      <c r="K16" s="20"/>
      <c r="L16" s="20"/>
      <c r="M16" s="20"/>
      <c r="N16" s="20"/>
      <c r="O16" s="20"/>
      <c r="P16" s="26"/>
      <c r="Q16" s="26"/>
      <c r="R16" s="24" t="e">
        <f>SUM(#REF!)</f>
        <v>#REF!</v>
      </c>
      <c r="S16" s="32">
        <f>B16+21</f>
        <v>21</v>
      </c>
      <c r="T16" s="11">
        <v>11</v>
      </c>
      <c r="U16" s="10"/>
      <c r="V16" s="10"/>
      <c r="W16" s="10"/>
      <c r="X16" s="10"/>
    </row>
    <row r="17" s="14" customFormat="1" ht="16.5" customHeight="1" spans="1:24">
      <c r="A17" s="6">
        <v>3</v>
      </c>
      <c r="B17" s="6">
        <v>34</v>
      </c>
      <c r="C17" s="18" t="s">
        <v>27</v>
      </c>
      <c r="D17" s="19">
        <v>577506.79</v>
      </c>
      <c r="E17" s="19"/>
      <c r="F17" s="19"/>
      <c r="G17" s="19"/>
      <c r="H17" s="20">
        <v>577506.79</v>
      </c>
      <c r="I17" s="20">
        <f t="shared" ref="I17:I20" si="6">H17*0.261</f>
        <v>150729.27219</v>
      </c>
      <c r="J17" s="20">
        <f t="shared" ref="J17:J20" si="7">H17*0.2046</f>
        <v>118157.889234</v>
      </c>
      <c r="K17" s="20">
        <f t="shared" ref="K17:K20" si="8">H17*0.276</f>
        <v>159391.87404</v>
      </c>
      <c r="L17" s="20">
        <f t="shared" ref="L17:L20" si="9">H17-I17-J17-K17</f>
        <v>149227.754536</v>
      </c>
      <c r="M17" s="20"/>
      <c r="N17" s="20"/>
      <c r="O17" s="20"/>
      <c r="P17" s="26"/>
      <c r="Q17" s="26">
        <f>SUM(I17:P17)</f>
        <v>577506.79</v>
      </c>
      <c r="R17" s="24" t="e">
        <f>SUM(#REF!)</f>
        <v>#REF!</v>
      </c>
      <c r="S17" s="32">
        <f>B17+21</f>
        <v>55</v>
      </c>
      <c r="T17" s="11">
        <v>12</v>
      </c>
      <c r="U17" s="11"/>
      <c r="V17" s="11">
        <v>3</v>
      </c>
      <c r="W17" s="11"/>
      <c r="X17" s="11"/>
    </row>
    <row r="18" s="14" customFormat="1" ht="16.5" customHeight="1" spans="1:24">
      <c r="A18" s="6">
        <v>3</v>
      </c>
      <c r="B18" s="6">
        <v>68</v>
      </c>
      <c r="C18" s="18" t="s">
        <v>28</v>
      </c>
      <c r="D18" s="19"/>
      <c r="E18" s="19">
        <v>766000.83</v>
      </c>
      <c r="F18" s="19"/>
      <c r="G18" s="19"/>
      <c r="H18" s="20">
        <v>766000.83</v>
      </c>
      <c r="I18" s="20">
        <f>H18*0.261</f>
        <v>199926.21663</v>
      </c>
      <c r="J18" s="20">
        <f>H18*0.2046</f>
        <v>156723.769818</v>
      </c>
      <c r="K18" s="20">
        <f>H18*0.276</f>
        <v>211416.22908</v>
      </c>
      <c r="L18" s="20">
        <f>H18-I18-J18-K18</f>
        <v>197934.614472</v>
      </c>
      <c r="M18" s="20"/>
      <c r="N18" s="20"/>
      <c r="O18" s="20"/>
      <c r="P18" s="26"/>
      <c r="Q18" s="26">
        <f>SUM(I18:P18)</f>
        <v>766000.83</v>
      </c>
      <c r="R18" s="24" t="e">
        <f>SUM(#REF!)</f>
        <v>#REF!</v>
      </c>
      <c r="S18" s="32">
        <f>B18+21</f>
        <v>89</v>
      </c>
      <c r="T18" s="11">
        <v>13</v>
      </c>
      <c r="U18" s="11">
        <v>3</v>
      </c>
      <c r="V18" s="11"/>
      <c r="W18" s="11"/>
      <c r="X18" s="11"/>
    </row>
    <row r="19" s="14" customFormat="1" ht="16.5" customHeight="1" spans="1:24">
      <c r="A19" s="6">
        <v>3</v>
      </c>
      <c r="B19" s="6">
        <v>35</v>
      </c>
      <c r="C19" s="18" t="s">
        <v>29</v>
      </c>
      <c r="D19" s="19"/>
      <c r="E19" s="19"/>
      <c r="F19" s="19">
        <v>126423.83</v>
      </c>
      <c r="G19" s="19"/>
      <c r="H19" s="20">
        <v>126423.83</v>
      </c>
      <c r="I19" s="20">
        <f>H19*0.261</f>
        <v>32996.61963</v>
      </c>
      <c r="J19" s="20">
        <f>H19*0.2046</f>
        <v>25866.315618</v>
      </c>
      <c r="K19" s="20">
        <f>H19*0.276</f>
        <v>34892.97708</v>
      </c>
      <c r="L19" s="20">
        <f>H19-I19-J19-K19</f>
        <v>32667.917672</v>
      </c>
      <c r="M19" s="20"/>
      <c r="N19" s="20"/>
      <c r="O19" s="20"/>
      <c r="P19" s="26"/>
      <c r="Q19" s="26">
        <f>SUM(I19:P19)</f>
        <v>126423.83</v>
      </c>
      <c r="R19" s="24" t="e">
        <f>SUM(#REF!)</f>
        <v>#REF!</v>
      </c>
      <c r="S19" s="32">
        <f>B19+21</f>
        <v>56</v>
      </c>
      <c r="T19" s="11">
        <v>14</v>
      </c>
      <c r="U19" s="11"/>
      <c r="V19" s="11"/>
      <c r="W19" s="11">
        <v>3</v>
      </c>
      <c r="X19" s="11"/>
    </row>
    <row r="20" s="14" customFormat="1" ht="16.5" customHeight="1" spans="1:24">
      <c r="A20" s="6">
        <v>3</v>
      </c>
      <c r="B20" s="6">
        <v>36</v>
      </c>
      <c r="C20" s="18" t="s">
        <v>30</v>
      </c>
      <c r="D20" s="19"/>
      <c r="E20" s="19"/>
      <c r="F20" s="19"/>
      <c r="G20" s="19">
        <v>4657.11</v>
      </c>
      <c r="H20" s="20">
        <v>4657.11</v>
      </c>
      <c r="I20" s="20">
        <f>H20*0.261</f>
        <v>1215.50571</v>
      </c>
      <c r="J20" s="20">
        <f>H20*0.2046</f>
        <v>952.844706</v>
      </c>
      <c r="K20" s="20">
        <f>H20*0.276</f>
        <v>1285.36236</v>
      </c>
      <c r="L20" s="20">
        <f>H20-I20-J20-K20</f>
        <v>1203.397224</v>
      </c>
      <c r="M20" s="20"/>
      <c r="N20" s="20"/>
      <c r="O20" s="20"/>
      <c r="P20" s="26"/>
      <c r="Q20" s="26">
        <f>SUM(I20:P20)</f>
        <v>4657.11</v>
      </c>
      <c r="R20" s="24" t="e">
        <f>SUM(#REF!)</f>
        <v>#REF!</v>
      </c>
      <c r="S20" s="32">
        <f>B20+21</f>
        <v>57</v>
      </c>
      <c r="T20" s="11">
        <v>15</v>
      </c>
      <c r="U20" s="11"/>
      <c r="V20" s="11"/>
      <c r="W20" s="11"/>
      <c r="X20" s="11">
        <v>2</v>
      </c>
    </row>
    <row r="21" s="9" customFormat="1" ht="16.5" customHeight="1" spans="1:24">
      <c r="A21" s="21"/>
      <c r="B21" s="6"/>
      <c r="C21" s="5" t="s">
        <v>31</v>
      </c>
      <c r="D21" s="22">
        <v>577506.79</v>
      </c>
      <c r="E21" s="22">
        <v>766000.83</v>
      </c>
      <c r="F21" s="22">
        <v>126423.83</v>
      </c>
      <c r="G21" s="22">
        <v>4657.11</v>
      </c>
      <c r="H21" s="23">
        <v>1474588.56</v>
      </c>
      <c r="I21" s="20"/>
      <c r="J21" s="20"/>
      <c r="K21" s="20"/>
      <c r="L21" s="20"/>
      <c r="M21" s="20"/>
      <c r="N21" s="20"/>
      <c r="O21" s="20"/>
      <c r="P21" s="26"/>
      <c r="Q21" s="26"/>
      <c r="R21" s="24" t="e">
        <f>SUM(#REF!)</f>
        <v>#REF!</v>
      </c>
      <c r="S21" s="32">
        <f>B21+21</f>
        <v>21</v>
      </c>
      <c r="T21" s="11">
        <v>16</v>
      </c>
      <c r="U21" s="10"/>
      <c r="V21" s="10"/>
      <c r="W21" s="10"/>
      <c r="X21" s="10"/>
    </row>
    <row r="22" s="9" customFormat="1" ht="16.5" customHeight="1" spans="1:24">
      <c r="A22" s="21"/>
      <c r="B22" s="6"/>
      <c r="C22" s="5" t="s">
        <v>32</v>
      </c>
      <c r="D22" s="22">
        <v>1724792.34</v>
      </c>
      <c r="E22" s="22">
        <v>2383553.36</v>
      </c>
      <c r="F22" s="22">
        <v>382941.1</v>
      </c>
      <c r="G22" s="22">
        <v>13739.76</v>
      </c>
      <c r="H22" s="23">
        <v>4505026.56</v>
      </c>
      <c r="I22" s="20"/>
      <c r="J22" s="20"/>
      <c r="K22" s="20"/>
      <c r="L22" s="20"/>
      <c r="M22" s="20"/>
      <c r="N22" s="20"/>
      <c r="O22" s="20"/>
      <c r="P22" s="26"/>
      <c r="Q22" s="26"/>
      <c r="R22" s="24" t="e">
        <f>SUM(#REF!)</f>
        <v>#REF!</v>
      </c>
      <c r="S22" s="32">
        <f>B22+21</f>
        <v>21</v>
      </c>
      <c r="T22" s="11">
        <v>17</v>
      </c>
      <c r="U22" s="10"/>
      <c r="V22" s="10"/>
      <c r="W22" s="10"/>
      <c r="X22" s="10"/>
    </row>
    <row r="23" s="14" customFormat="1" ht="16.5" customHeight="1" spans="1:24">
      <c r="A23" s="6">
        <v>4</v>
      </c>
      <c r="B23" s="6">
        <v>31</v>
      </c>
      <c r="C23" s="18" t="s">
        <v>27</v>
      </c>
      <c r="D23" s="19">
        <v>597516.23</v>
      </c>
      <c r="E23" s="19"/>
      <c r="F23" s="19"/>
      <c r="G23" s="19"/>
      <c r="H23" s="20">
        <v>597516.23</v>
      </c>
      <c r="I23" s="20">
        <f t="shared" ref="I23:I26" si="10">H23*0.21</f>
        <v>125478.4083</v>
      </c>
      <c r="J23" s="20">
        <f t="shared" ref="J23:J26" si="11">H23*0.2346</f>
        <v>140177.307558</v>
      </c>
      <c r="K23" s="20">
        <f t="shared" ref="K23:K26" si="12">H23*0.2578</f>
        <v>154039.684094</v>
      </c>
      <c r="L23" s="20">
        <f t="shared" ref="L23:L26" si="13">H23-I23-J23-K23</f>
        <v>177820.830048</v>
      </c>
      <c r="M23" s="20"/>
      <c r="N23" s="20"/>
      <c r="O23" s="20"/>
      <c r="P23" s="26"/>
      <c r="Q23" s="26">
        <f>SUM(I23:P23)</f>
        <v>597516.23</v>
      </c>
      <c r="R23" s="24" t="e">
        <f>SUM(#REF!)</f>
        <v>#REF!</v>
      </c>
      <c r="S23" s="32">
        <f>B23+21</f>
        <v>52</v>
      </c>
      <c r="T23" s="11">
        <v>18</v>
      </c>
      <c r="U23" s="11"/>
      <c r="V23" s="11">
        <v>4</v>
      </c>
      <c r="W23" s="11"/>
      <c r="X23" s="11"/>
    </row>
    <row r="24" s="14" customFormat="1" ht="16.5" customHeight="1" spans="1:24">
      <c r="A24" s="6">
        <v>4</v>
      </c>
      <c r="B24" s="6">
        <v>79</v>
      </c>
      <c r="C24" s="18" t="s">
        <v>28</v>
      </c>
      <c r="D24" s="19"/>
      <c r="E24" s="19">
        <v>779968.17</v>
      </c>
      <c r="F24" s="19"/>
      <c r="G24" s="19"/>
      <c r="H24" s="20">
        <v>779968.17</v>
      </c>
      <c r="I24" s="20">
        <f>H24*0.21</f>
        <v>163793.3157</v>
      </c>
      <c r="J24" s="20">
        <f>H24*0.2346</f>
        <v>182980.532682</v>
      </c>
      <c r="K24" s="20">
        <f>H24*0.2578</f>
        <v>201075.794226</v>
      </c>
      <c r="L24" s="20">
        <f>H24-I24-J24-K24</f>
        <v>232118.527392</v>
      </c>
      <c r="M24" s="20"/>
      <c r="N24" s="20"/>
      <c r="O24" s="20"/>
      <c r="P24" s="26"/>
      <c r="Q24" s="26">
        <f>SUM(I24:P24)</f>
        <v>779968.17</v>
      </c>
      <c r="R24" s="24" t="e">
        <f>SUM(#REF!)</f>
        <v>#REF!</v>
      </c>
      <c r="S24" s="32">
        <f>B24+21</f>
        <v>100</v>
      </c>
      <c r="T24" s="11">
        <v>19</v>
      </c>
      <c r="U24" s="11">
        <v>4</v>
      </c>
      <c r="V24" s="11"/>
      <c r="W24" s="11"/>
      <c r="X24" s="11"/>
    </row>
    <row r="25" s="14" customFormat="1" ht="16.5" customHeight="1" spans="1:24">
      <c r="A25" s="6">
        <v>4</v>
      </c>
      <c r="B25" s="6">
        <v>75</v>
      </c>
      <c r="C25" s="18" t="s">
        <v>29</v>
      </c>
      <c r="D25" s="19"/>
      <c r="E25" s="19"/>
      <c r="F25" s="19">
        <v>130633.55</v>
      </c>
      <c r="G25" s="19"/>
      <c r="H25" s="20">
        <v>130633.55</v>
      </c>
      <c r="I25" s="20">
        <f>H25*0.21</f>
        <v>27433.0455</v>
      </c>
      <c r="J25" s="20">
        <f>H25*0.2346</f>
        <v>30646.63083</v>
      </c>
      <c r="K25" s="20">
        <f>H25*0.2578</f>
        <v>33677.32919</v>
      </c>
      <c r="L25" s="20">
        <f>H25-I25-J25-K25</f>
        <v>38876.54448</v>
      </c>
      <c r="M25" s="20"/>
      <c r="N25" s="20"/>
      <c r="O25" s="20"/>
      <c r="P25" s="26"/>
      <c r="Q25" s="26">
        <f>SUM(I25:P25)</f>
        <v>130633.55</v>
      </c>
      <c r="R25" s="24" t="e">
        <f>SUM(#REF!)</f>
        <v>#REF!</v>
      </c>
      <c r="S25" s="32">
        <f>B25+21</f>
        <v>96</v>
      </c>
      <c r="T25" s="11">
        <v>20</v>
      </c>
      <c r="U25" s="11"/>
      <c r="V25" s="11"/>
      <c r="W25" s="11">
        <v>4</v>
      </c>
      <c r="X25" s="11"/>
    </row>
    <row r="26" s="14" customFormat="1" ht="16.5" customHeight="1" spans="1:24">
      <c r="A26" s="6">
        <v>4</v>
      </c>
      <c r="B26" s="6">
        <v>21</v>
      </c>
      <c r="C26" s="18" t="s">
        <v>30</v>
      </c>
      <c r="D26" s="19"/>
      <c r="E26" s="19"/>
      <c r="F26" s="19"/>
      <c r="G26" s="19">
        <v>4510.85</v>
      </c>
      <c r="H26" s="20">
        <v>4510.85</v>
      </c>
      <c r="I26" s="20">
        <f>H26*0.21</f>
        <v>947.2785</v>
      </c>
      <c r="J26" s="20">
        <f>H26*0.2346</f>
        <v>1058.24541</v>
      </c>
      <c r="K26" s="20">
        <f>H26*0.2578</f>
        <v>1162.89713</v>
      </c>
      <c r="L26" s="20">
        <f>H26-I26-J26-K26</f>
        <v>1342.42896</v>
      </c>
      <c r="M26" s="20"/>
      <c r="N26" s="20"/>
      <c r="O26" s="20"/>
      <c r="P26" s="26"/>
      <c r="Q26" s="26">
        <f>SUM(I26:P26)</f>
        <v>4510.85</v>
      </c>
      <c r="R26" s="24"/>
      <c r="S26" s="32">
        <f>B26+21</f>
        <v>42</v>
      </c>
      <c r="T26" s="11"/>
      <c r="U26" s="11"/>
      <c r="V26" s="11"/>
      <c r="W26" s="11"/>
      <c r="X26" s="11"/>
    </row>
    <row r="27" s="10" customFormat="1" ht="16.5" customHeight="1" spans="1:20">
      <c r="A27" s="21"/>
      <c r="B27" s="6"/>
      <c r="C27" s="5" t="s">
        <v>31</v>
      </c>
      <c r="D27" s="22">
        <v>597516.23</v>
      </c>
      <c r="E27" s="22">
        <v>779968.17</v>
      </c>
      <c r="F27" s="22">
        <v>130633.55</v>
      </c>
      <c r="G27" s="22">
        <v>4510.85</v>
      </c>
      <c r="H27" s="22">
        <v>1512628.8</v>
      </c>
      <c r="I27" s="20"/>
      <c r="J27" s="20"/>
      <c r="K27" s="20"/>
      <c r="L27" s="20"/>
      <c r="M27" s="20"/>
      <c r="N27" s="20"/>
      <c r="O27" s="20"/>
      <c r="P27" s="26"/>
      <c r="Q27" s="26"/>
      <c r="R27" s="24" t="e">
        <f>SUM(#REF!)</f>
        <v>#REF!</v>
      </c>
      <c r="S27" s="32">
        <f>B27+21</f>
        <v>21</v>
      </c>
      <c r="T27" s="11">
        <v>21</v>
      </c>
    </row>
    <row r="28" s="10" customFormat="1" ht="16.5" customHeight="1" spans="1:20">
      <c r="A28" s="21"/>
      <c r="B28" s="6"/>
      <c r="C28" s="5" t="s">
        <v>32</v>
      </c>
      <c r="D28" s="22">
        <v>2322308.57</v>
      </c>
      <c r="E28" s="22">
        <v>3163521.53</v>
      </c>
      <c r="F28" s="22">
        <v>513574.65</v>
      </c>
      <c r="G28" s="22">
        <v>18250.61</v>
      </c>
      <c r="H28" s="23">
        <v>6017655.36</v>
      </c>
      <c r="I28" s="20"/>
      <c r="J28" s="20"/>
      <c r="K28" s="20"/>
      <c r="L28" s="20"/>
      <c r="M28" s="20"/>
      <c r="N28" s="20"/>
      <c r="O28" s="20"/>
      <c r="P28" s="26"/>
      <c r="Q28" s="26"/>
      <c r="R28" s="24" t="e">
        <f>SUM(#REF!)</f>
        <v>#REF!</v>
      </c>
      <c r="S28" s="32">
        <f>B28+21</f>
        <v>21</v>
      </c>
      <c r="T28" s="11">
        <v>22</v>
      </c>
    </row>
    <row r="29" s="14" customFormat="1" ht="16.5" customHeight="1" spans="1:24">
      <c r="A29" s="6">
        <v>5</v>
      </c>
      <c r="B29" s="6">
        <v>35</v>
      </c>
      <c r="C29" s="18" t="s">
        <v>27</v>
      </c>
      <c r="D29" s="19">
        <v>598476.69</v>
      </c>
      <c r="E29" s="19"/>
      <c r="F29" s="19"/>
      <c r="G29" s="19"/>
      <c r="H29" s="20">
        <v>598476.69</v>
      </c>
      <c r="I29" s="20">
        <f>H29*0.161</f>
        <v>96354.74709</v>
      </c>
      <c r="J29" s="20">
        <f>H29*0.146</f>
        <v>87377.59674</v>
      </c>
      <c r="K29" s="20">
        <f>H29*0.128</f>
        <v>76605.01632</v>
      </c>
      <c r="L29" s="20">
        <f>H29*0.196</f>
        <v>117301.43124</v>
      </c>
      <c r="M29" s="20">
        <f>H29*0.15</f>
        <v>89771.5035</v>
      </c>
      <c r="N29" s="49">
        <f>H29-I29-J29-K29-L29-M29</f>
        <v>131066.39511</v>
      </c>
      <c r="O29" s="49"/>
      <c r="P29" s="50"/>
      <c r="Q29" s="26">
        <f>SUM(I29:P29)</f>
        <v>598476.69</v>
      </c>
      <c r="R29" s="24" t="e">
        <f>SUM(#REF!)</f>
        <v>#REF!</v>
      </c>
      <c r="S29" s="32">
        <f>B29+21</f>
        <v>56</v>
      </c>
      <c r="T29" s="11">
        <v>23</v>
      </c>
      <c r="U29" s="11"/>
      <c r="V29" s="11">
        <v>5</v>
      </c>
      <c r="W29" s="11"/>
      <c r="X29" s="11"/>
    </row>
    <row r="30" s="14" customFormat="1" ht="16.5" customHeight="1" spans="1:24">
      <c r="A30" s="6">
        <v>5</v>
      </c>
      <c r="B30" s="6">
        <v>75</v>
      </c>
      <c r="C30" s="18" t="s">
        <v>28</v>
      </c>
      <c r="D30" s="19"/>
      <c r="E30" s="19">
        <v>799708.65</v>
      </c>
      <c r="F30" s="19"/>
      <c r="G30" s="19"/>
      <c r="H30" s="20">
        <v>799708.65</v>
      </c>
      <c r="I30" s="20">
        <f t="shared" ref="I30:I38" si="14">H30*0.161</f>
        <v>128753.09265</v>
      </c>
      <c r="J30" s="20">
        <f t="shared" ref="J30:J38" si="15">H30*0.146</f>
        <v>116757.4629</v>
      </c>
      <c r="K30" s="20">
        <f t="shared" ref="K30:K38" si="16">H30*0.128</f>
        <v>102362.7072</v>
      </c>
      <c r="L30" s="20">
        <f t="shared" ref="L30:L38" si="17">H30*0.196</f>
        <v>156742.8954</v>
      </c>
      <c r="M30" s="20">
        <f t="shared" ref="M30:M38" si="18">H30*0.15</f>
        <v>119956.2975</v>
      </c>
      <c r="N30" s="49">
        <f t="shared" ref="N30:N38" si="19">H30-I30-J30-K30-L30-M30</f>
        <v>175136.19435</v>
      </c>
      <c r="O30" s="49"/>
      <c r="P30" s="50"/>
      <c r="Q30" s="26">
        <f>SUM(I30:P30)</f>
        <v>799708.65</v>
      </c>
      <c r="R30" s="24" t="e">
        <f>SUM(#REF!)</f>
        <v>#REF!</v>
      </c>
      <c r="S30" s="32">
        <f>B30+21</f>
        <v>96</v>
      </c>
      <c r="T30" s="11">
        <v>24</v>
      </c>
      <c r="U30" s="11">
        <v>5</v>
      </c>
      <c r="V30" s="11"/>
      <c r="W30" s="11"/>
      <c r="X30" s="11"/>
    </row>
    <row r="31" s="14" customFormat="1" ht="16.5" customHeight="1" spans="1:24">
      <c r="A31" s="6">
        <v>5</v>
      </c>
      <c r="B31" s="6">
        <v>41</v>
      </c>
      <c r="C31" s="18" t="s">
        <v>29</v>
      </c>
      <c r="D31" s="19"/>
      <c r="E31" s="19"/>
      <c r="F31" s="19">
        <v>122418.31</v>
      </c>
      <c r="G31" s="19"/>
      <c r="H31" s="20">
        <v>122418.31</v>
      </c>
      <c r="I31" s="20">
        <f>H31*0.161</f>
        <v>19709.34791</v>
      </c>
      <c r="J31" s="20">
        <f>H31*0.146</f>
        <v>17873.07326</v>
      </c>
      <c r="K31" s="20">
        <f>H31*0.128</f>
        <v>15669.54368</v>
      </c>
      <c r="L31" s="20">
        <f>H31*0.196</f>
        <v>23993.98876</v>
      </c>
      <c r="M31" s="20">
        <f>H31*0.15</f>
        <v>18362.7465</v>
      </c>
      <c r="N31" s="49">
        <f>H31-I31-J31-K31-L31-M31</f>
        <v>26809.60989</v>
      </c>
      <c r="O31" s="49"/>
      <c r="P31" s="50"/>
      <c r="Q31" s="26">
        <f>SUM(I31:P31)</f>
        <v>122418.31</v>
      </c>
      <c r="R31" s="24" t="e">
        <f>SUM(#REF!)</f>
        <v>#REF!</v>
      </c>
      <c r="S31" s="32">
        <f>B31+21</f>
        <v>62</v>
      </c>
      <c r="T31" s="11">
        <v>25</v>
      </c>
      <c r="U31" s="11"/>
      <c r="V31" s="11"/>
      <c r="W31" s="11">
        <v>5</v>
      </c>
      <c r="X31" s="11"/>
    </row>
    <row r="32" s="14" customFormat="1" ht="16.5" customHeight="1" spans="1:24">
      <c r="A32" s="6">
        <v>5</v>
      </c>
      <c r="B32" s="6">
        <v>21</v>
      </c>
      <c r="C32" s="18" t="s">
        <v>30</v>
      </c>
      <c r="D32" s="19"/>
      <c r="E32" s="19"/>
      <c r="F32" s="19"/>
      <c r="G32" s="19">
        <v>4467.72</v>
      </c>
      <c r="H32" s="20">
        <v>4467.72</v>
      </c>
      <c r="I32" s="20">
        <f>H32*0.161</f>
        <v>719.30292</v>
      </c>
      <c r="J32" s="20">
        <f>H32*0.146</f>
        <v>652.28712</v>
      </c>
      <c r="K32" s="20">
        <f>H32*0.128</f>
        <v>571.86816</v>
      </c>
      <c r="L32" s="20">
        <f>H32*0.196</f>
        <v>875.67312</v>
      </c>
      <c r="M32" s="20">
        <f>H32*0.15</f>
        <v>670.158</v>
      </c>
      <c r="N32" s="49">
        <f>H32-I32-J32-K32-L32-M32</f>
        <v>978.43068</v>
      </c>
      <c r="O32" s="49"/>
      <c r="P32" s="50"/>
      <c r="Q32" s="26">
        <f>SUM(I32:P32)</f>
        <v>4467.72</v>
      </c>
      <c r="R32" s="24"/>
      <c r="S32" s="32">
        <f>B32+21</f>
        <v>42</v>
      </c>
      <c r="T32" s="11"/>
      <c r="U32" s="11"/>
      <c r="V32" s="11"/>
      <c r="W32" s="11"/>
      <c r="X32" s="11"/>
    </row>
    <row r="33" s="9" customFormat="1" ht="16.5" customHeight="1" spans="1:24">
      <c r="A33" s="21"/>
      <c r="B33" s="6"/>
      <c r="C33" s="5" t="s">
        <v>31</v>
      </c>
      <c r="D33" s="22">
        <v>598476.69</v>
      </c>
      <c r="E33" s="22">
        <v>799708.65</v>
      </c>
      <c r="F33" s="22">
        <v>122418.31</v>
      </c>
      <c r="G33" s="22">
        <v>4467.72</v>
      </c>
      <c r="H33" s="22">
        <v>1525071.37</v>
      </c>
      <c r="I33" s="20"/>
      <c r="J33" s="20"/>
      <c r="K33" s="20"/>
      <c r="L33" s="20"/>
      <c r="M33" s="20"/>
      <c r="N33" s="20"/>
      <c r="O33" s="20"/>
      <c r="P33" s="26"/>
      <c r="Q33" s="26"/>
      <c r="R33" s="24" t="e">
        <f>SUM(#REF!)</f>
        <v>#REF!</v>
      </c>
      <c r="S33" s="32">
        <f>B33+21</f>
        <v>21</v>
      </c>
      <c r="T33" s="11">
        <v>26</v>
      </c>
      <c r="U33" s="10"/>
      <c r="V33" s="10"/>
      <c r="W33" s="10"/>
      <c r="X33" s="10"/>
    </row>
    <row r="34" s="9" customFormat="1" ht="16.5" customHeight="1" spans="1:24">
      <c r="A34" s="21"/>
      <c r="B34" s="6"/>
      <c r="C34" s="5" t="s">
        <v>32</v>
      </c>
      <c r="D34" s="22">
        <v>2920785.26</v>
      </c>
      <c r="E34" s="22">
        <v>3963230.18</v>
      </c>
      <c r="F34" s="22">
        <v>635992.96</v>
      </c>
      <c r="G34" s="22">
        <v>22718.33</v>
      </c>
      <c r="H34" s="23">
        <v>7542726.73</v>
      </c>
      <c r="I34" s="20"/>
      <c r="J34" s="20"/>
      <c r="K34" s="20"/>
      <c r="L34" s="20"/>
      <c r="M34" s="20"/>
      <c r="N34" s="20"/>
      <c r="O34" s="20"/>
      <c r="P34" s="26"/>
      <c r="Q34" s="26"/>
      <c r="R34" s="24" t="e">
        <f>SUM(#REF!)</f>
        <v>#REF!</v>
      </c>
      <c r="S34" s="32">
        <f>B34+21</f>
        <v>21</v>
      </c>
      <c r="T34" s="11">
        <v>27</v>
      </c>
      <c r="U34" s="10"/>
      <c r="V34" s="10"/>
      <c r="W34" s="10"/>
      <c r="X34" s="10"/>
    </row>
    <row r="35" s="14" customFormat="1" ht="16.5" customHeight="1" spans="1:24">
      <c r="A35" s="6">
        <v>6</v>
      </c>
      <c r="B35" s="6">
        <v>39</v>
      </c>
      <c r="C35" s="18" t="s">
        <v>27</v>
      </c>
      <c r="D35" s="19">
        <v>590965.94</v>
      </c>
      <c r="E35" s="19"/>
      <c r="F35" s="19"/>
      <c r="G35" s="19"/>
      <c r="H35" s="20">
        <v>590965.94</v>
      </c>
      <c r="I35" s="20">
        <f>H35*0.161</f>
        <v>95145.51634</v>
      </c>
      <c r="J35" s="20">
        <f>H35*0.146</f>
        <v>86281.02724</v>
      </c>
      <c r="K35" s="20">
        <f>H35*0.128</f>
        <v>75643.64032</v>
      </c>
      <c r="L35" s="20">
        <f>H35*0.196</f>
        <v>115829.32424</v>
      </c>
      <c r="M35" s="20">
        <f>H35*0.15</f>
        <v>88644.891</v>
      </c>
      <c r="N35" s="49">
        <f>H35-I35-J35-K35-L35-M35</f>
        <v>129421.54086</v>
      </c>
      <c r="O35" s="49"/>
      <c r="P35" s="50"/>
      <c r="Q35" s="26">
        <f>SUM(I35:P35)</f>
        <v>590965.94</v>
      </c>
      <c r="R35" s="24" t="e">
        <f>SUM(#REF!)</f>
        <v>#REF!</v>
      </c>
      <c r="S35" s="32">
        <f>B35+21</f>
        <v>60</v>
      </c>
      <c r="T35" s="11">
        <v>28</v>
      </c>
      <c r="U35" s="11"/>
      <c r="V35" s="11">
        <v>6</v>
      </c>
      <c r="W35" s="11"/>
      <c r="X35" s="11"/>
    </row>
    <row r="36" s="14" customFormat="1" ht="16.5" customHeight="1" spans="1:24">
      <c r="A36" s="6">
        <v>6</v>
      </c>
      <c r="B36" s="6">
        <v>71</v>
      </c>
      <c r="C36" s="18" t="s">
        <v>28</v>
      </c>
      <c r="D36" s="19"/>
      <c r="E36" s="19">
        <v>827463.4</v>
      </c>
      <c r="F36" s="19"/>
      <c r="G36" s="19"/>
      <c r="H36" s="20">
        <v>827463.4</v>
      </c>
      <c r="I36" s="20">
        <f>H36*0.161</f>
        <v>133221.6074</v>
      </c>
      <c r="J36" s="20">
        <f>H36*0.146</f>
        <v>120809.6564</v>
      </c>
      <c r="K36" s="20">
        <f>H36*0.128</f>
        <v>105915.3152</v>
      </c>
      <c r="L36" s="20">
        <f>H36*0.196</f>
        <v>162182.8264</v>
      </c>
      <c r="M36" s="20">
        <f>H36*0.15</f>
        <v>124119.51</v>
      </c>
      <c r="N36" s="49">
        <f>H36-I36-J36-K36-L36-M36</f>
        <v>181214.4846</v>
      </c>
      <c r="O36" s="49"/>
      <c r="P36" s="50"/>
      <c r="Q36" s="26">
        <f>SUM(I36:P36)</f>
        <v>827463.4</v>
      </c>
      <c r="R36" s="24" t="e">
        <f>SUM(#REF!)</f>
        <v>#REF!</v>
      </c>
      <c r="S36" s="32">
        <f>B36+21</f>
        <v>92</v>
      </c>
      <c r="T36" s="11">
        <v>29</v>
      </c>
      <c r="U36" s="11">
        <v>6</v>
      </c>
      <c r="V36" s="11"/>
      <c r="W36" s="11"/>
      <c r="X36" s="11"/>
    </row>
    <row r="37" s="14" customFormat="1" ht="16.5" customHeight="1" spans="1:24">
      <c r="A37" s="6">
        <v>6</v>
      </c>
      <c r="B37" s="6">
        <v>75</v>
      </c>
      <c r="C37" s="18" t="s">
        <v>29</v>
      </c>
      <c r="D37" s="19"/>
      <c r="E37" s="19"/>
      <c r="F37" s="19">
        <v>121364.06</v>
      </c>
      <c r="G37" s="19"/>
      <c r="H37" s="20">
        <v>121364.06</v>
      </c>
      <c r="I37" s="20">
        <f>H37*0.161</f>
        <v>19539.61366</v>
      </c>
      <c r="J37" s="20">
        <f>H37*0.146</f>
        <v>17719.15276</v>
      </c>
      <c r="K37" s="20">
        <f>H37*0.128</f>
        <v>15534.59968</v>
      </c>
      <c r="L37" s="20">
        <f>H37*0.196</f>
        <v>23787.35576</v>
      </c>
      <c r="M37" s="20">
        <f>H37*0.15</f>
        <v>18204.609</v>
      </c>
      <c r="N37" s="49">
        <f>H37-I37-J37-K37-L37-M37</f>
        <v>26578.72914</v>
      </c>
      <c r="O37" s="49"/>
      <c r="P37" s="50"/>
      <c r="Q37" s="26">
        <f>SUM(I37:P37)</f>
        <v>121364.06</v>
      </c>
      <c r="R37" s="24" t="e">
        <f>SUM(#REF!)</f>
        <v>#REF!</v>
      </c>
      <c r="S37" s="32">
        <f>B37+21</f>
        <v>96</v>
      </c>
      <c r="T37" s="11">
        <v>30</v>
      </c>
      <c r="U37" s="11"/>
      <c r="V37" s="11"/>
      <c r="W37" s="11">
        <v>6</v>
      </c>
      <c r="X37" s="11"/>
    </row>
    <row r="38" s="14" customFormat="1" ht="16.5" customHeight="1" spans="1:24">
      <c r="A38" s="6">
        <v>6</v>
      </c>
      <c r="B38" s="6">
        <v>21</v>
      </c>
      <c r="C38" s="18" t="s">
        <v>30</v>
      </c>
      <c r="D38" s="19"/>
      <c r="E38" s="19"/>
      <c r="F38" s="19"/>
      <c r="G38" s="19">
        <v>4390.99</v>
      </c>
      <c r="H38" s="20">
        <v>4390.99</v>
      </c>
      <c r="I38" s="20">
        <f>H38*0.161</f>
        <v>706.94939</v>
      </c>
      <c r="J38" s="20">
        <f>H38*0.146</f>
        <v>641.08454</v>
      </c>
      <c r="K38" s="20">
        <f>H38*0.128</f>
        <v>562.04672</v>
      </c>
      <c r="L38" s="20">
        <f>H38*0.196</f>
        <v>860.63404</v>
      </c>
      <c r="M38" s="20">
        <f>H38*0.15</f>
        <v>658.6485</v>
      </c>
      <c r="N38" s="49">
        <f>H38-I38-J38-K38-L38-M38</f>
        <v>961.626810000001</v>
      </c>
      <c r="O38" s="49"/>
      <c r="P38" s="50"/>
      <c r="Q38" s="26">
        <f>SUM(I38:P38)</f>
        <v>4390.99</v>
      </c>
      <c r="R38" s="24"/>
      <c r="S38" s="32">
        <f t="shared" ref="S38:S74" si="20">B38+21</f>
        <v>42</v>
      </c>
      <c r="T38" s="11"/>
      <c r="U38" s="11"/>
      <c r="V38" s="11"/>
      <c r="W38" s="11"/>
      <c r="X38" s="11"/>
    </row>
    <row r="39" s="9" customFormat="1" ht="16.5" customHeight="1" spans="1:24">
      <c r="A39" s="21"/>
      <c r="B39" s="6"/>
      <c r="C39" s="5" t="s">
        <v>31</v>
      </c>
      <c r="D39" s="22">
        <v>590965.94</v>
      </c>
      <c r="E39" s="22">
        <v>827463.4</v>
      </c>
      <c r="F39" s="22">
        <v>121364.06</v>
      </c>
      <c r="G39" s="22">
        <v>4390.99</v>
      </c>
      <c r="H39" s="22">
        <v>1544184.39</v>
      </c>
      <c r="I39" s="20"/>
      <c r="J39" s="20"/>
      <c r="K39" s="20"/>
      <c r="L39" s="20"/>
      <c r="M39" s="20"/>
      <c r="N39" s="20"/>
      <c r="O39" s="20"/>
      <c r="P39" s="26"/>
      <c r="Q39" s="26"/>
      <c r="R39" s="24" t="e">
        <f>SUM(#REF!)</f>
        <v>#REF!</v>
      </c>
      <c r="S39" s="32">
        <f>B39+21</f>
        <v>21</v>
      </c>
      <c r="T39" s="11">
        <v>31</v>
      </c>
      <c r="U39" s="10"/>
      <c r="V39" s="10"/>
      <c r="W39" s="10"/>
      <c r="X39" s="10"/>
    </row>
    <row r="40" s="9" customFormat="1" ht="16.5" customHeight="1" spans="1:24">
      <c r="A40" s="21"/>
      <c r="B40" s="6"/>
      <c r="C40" s="5" t="s">
        <v>32</v>
      </c>
      <c r="D40" s="22">
        <v>3511751.2</v>
      </c>
      <c r="E40" s="22">
        <v>4790693.58</v>
      </c>
      <c r="F40" s="22">
        <v>757357.02</v>
      </c>
      <c r="G40" s="22">
        <v>27109.32</v>
      </c>
      <c r="H40" s="23">
        <v>9086911.12</v>
      </c>
      <c r="I40" s="20"/>
      <c r="J40" s="20"/>
      <c r="K40" s="20"/>
      <c r="L40" s="20"/>
      <c r="M40" s="20"/>
      <c r="N40" s="20"/>
      <c r="O40" s="20"/>
      <c r="P40" s="26"/>
      <c r="Q40" s="26"/>
      <c r="R40" s="24" t="e">
        <f>SUM(#REF!)</f>
        <v>#REF!</v>
      </c>
      <c r="S40" s="32">
        <f>B40+21</f>
        <v>21</v>
      </c>
      <c r="T40" s="11">
        <v>32</v>
      </c>
      <c r="U40" s="10"/>
      <c r="V40" s="10"/>
      <c r="W40" s="10"/>
      <c r="X40" s="10"/>
    </row>
    <row r="41" s="14" customFormat="1" ht="16.5" customHeight="1" spans="1:24">
      <c r="A41" s="6">
        <v>7</v>
      </c>
      <c r="B41" s="6">
        <v>42</v>
      </c>
      <c r="C41" s="18" t="s">
        <v>27</v>
      </c>
      <c r="D41" s="19">
        <v>575169.62</v>
      </c>
      <c r="E41" s="19"/>
      <c r="F41" s="19"/>
      <c r="G41" s="19"/>
      <c r="H41" s="20">
        <v>575169.62</v>
      </c>
      <c r="I41" s="20"/>
      <c r="J41" s="20"/>
      <c r="K41" s="20">
        <f>H41*0.1878</f>
        <v>108016.854636</v>
      </c>
      <c r="L41" s="20">
        <f>H41*0.1876</f>
        <v>107901.820712</v>
      </c>
      <c r="M41" s="20">
        <f>H41*0.1842</f>
        <v>105946.244004</v>
      </c>
      <c r="N41" s="20">
        <f>H41*0.131</f>
        <v>75347.22022</v>
      </c>
      <c r="O41" s="20">
        <f>H41*0.11022</f>
        <v>63395.1955164</v>
      </c>
      <c r="P41" s="26">
        <f>H41-K41-L41-M41-N41-O41</f>
        <v>114562.2849116</v>
      </c>
      <c r="Q41" s="26">
        <f>SUM(I41:P41)</f>
        <v>575169.62</v>
      </c>
      <c r="R41" s="24" t="e">
        <f>SUM(#REF!)</f>
        <v>#REF!</v>
      </c>
      <c r="S41" s="32">
        <f>B41+21</f>
        <v>63</v>
      </c>
      <c r="T41" s="11">
        <v>33</v>
      </c>
      <c r="U41" s="11"/>
      <c r="V41" s="11">
        <v>7</v>
      </c>
      <c r="W41" s="11"/>
      <c r="X41" s="11"/>
    </row>
    <row r="42" s="14" customFormat="1" ht="16.5" customHeight="1" spans="1:24">
      <c r="A42" s="6">
        <v>7</v>
      </c>
      <c r="B42" s="6">
        <v>98</v>
      </c>
      <c r="C42" s="18" t="s">
        <v>28</v>
      </c>
      <c r="D42" s="19"/>
      <c r="E42" s="19">
        <v>786239.85</v>
      </c>
      <c r="F42" s="19"/>
      <c r="G42" s="19"/>
      <c r="H42" s="20">
        <v>786239.85</v>
      </c>
      <c r="I42" s="20"/>
      <c r="J42" s="20"/>
      <c r="K42" s="20">
        <f t="shared" ref="K42:K50" si="21">H42*0.1878</f>
        <v>147655.84383</v>
      </c>
      <c r="L42" s="20">
        <f t="shared" ref="L42:L50" si="22">H42*0.1876</f>
        <v>147498.59586</v>
      </c>
      <c r="M42" s="20">
        <f t="shared" ref="M42:M50" si="23">H42*0.1842</f>
        <v>144825.38037</v>
      </c>
      <c r="N42" s="20">
        <f t="shared" ref="N42:N50" si="24">H42*0.131</f>
        <v>102997.42035</v>
      </c>
      <c r="O42" s="20">
        <f t="shared" ref="O42:O50" si="25">H42*0.11022</f>
        <v>86659.356267</v>
      </c>
      <c r="P42" s="26">
        <f t="shared" ref="P42:P50" si="26">H42-K42-L42-M42-N42-O42</f>
        <v>156603.253323</v>
      </c>
      <c r="Q42" s="26">
        <f>SUM(I42:P42)</f>
        <v>786239.85</v>
      </c>
      <c r="R42" s="24" t="e">
        <f>SUM(#REF!)</f>
        <v>#REF!</v>
      </c>
      <c r="S42" s="32">
        <f>B42+21</f>
        <v>119</v>
      </c>
      <c r="T42" s="11">
        <v>34</v>
      </c>
      <c r="U42" s="11">
        <v>7</v>
      </c>
      <c r="V42" s="11"/>
      <c r="W42" s="11"/>
      <c r="X42" s="11"/>
    </row>
    <row r="43" s="14" customFormat="1" ht="16.5" customHeight="1" spans="1:24">
      <c r="A43" s="6">
        <v>7</v>
      </c>
      <c r="B43" s="6">
        <v>87</v>
      </c>
      <c r="C43" s="18" t="s">
        <v>29</v>
      </c>
      <c r="D43" s="19"/>
      <c r="E43" s="19"/>
      <c r="F43" s="19">
        <v>126796.69</v>
      </c>
      <c r="G43" s="19"/>
      <c r="H43" s="20">
        <v>126796.69</v>
      </c>
      <c r="I43" s="20"/>
      <c r="J43" s="20"/>
      <c r="K43" s="20">
        <f>H43*0.1878</f>
        <v>23812.418382</v>
      </c>
      <c r="L43" s="20">
        <f>H43*0.1876</f>
        <v>23787.059044</v>
      </c>
      <c r="M43" s="20">
        <f>H43*0.1842</f>
        <v>23355.950298</v>
      </c>
      <c r="N43" s="20">
        <f>H43*0.131</f>
        <v>16610.36639</v>
      </c>
      <c r="O43" s="20">
        <f>H43*0.11022</f>
        <v>13975.5311718</v>
      </c>
      <c r="P43" s="26">
        <f>H43-K43-L43-M43-N43-O43</f>
        <v>25255.3647142</v>
      </c>
      <c r="Q43" s="26">
        <f>SUM(I43:P43)</f>
        <v>126796.69</v>
      </c>
      <c r="R43" s="24" t="e">
        <f>SUM(#REF!)</f>
        <v>#REF!</v>
      </c>
      <c r="S43" s="32">
        <f>B43+21</f>
        <v>108</v>
      </c>
      <c r="T43" s="11">
        <v>35</v>
      </c>
      <c r="U43" s="11"/>
      <c r="V43" s="11"/>
      <c r="W43" s="11">
        <v>7</v>
      </c>
      <c r="X43" s="11"/>
    </row>
    <row r="44" s="14" customFormat="1" ht="16.5" customHeight="1" spans="1:24">
      <c r="A44" s="6">
        <v>7</v>
      </c>
      <c r="B44" s="6">
        <v>83</v>
      </c>
      <c r="C44" s="18" t="s">
        <v>30</v>
      </c>
      <c r="D44" s="19"/>
      <c r="E44" s="19"/>
      <c r="F44" s="19"/>
      <c r="G44" s="19">
        <v>4362.35</v>
      </c>
      <c r="H44" s="20">
        <v>4362.35</v>
      </c>
      <c r="I44" s="20"/>
      <c r="J44" s="20"/>
      <c r="K44" s="20">
        <f>H44*0.1878</f>
        <v>819.24933</v>
      </c>
      <c r="L44" s="20">
        <f>H44*0.1876</f>
        <v>818.37686</v>
      </c>
      <c r="M44" s="20">
        <f>H44*0.1842</f>
        <v>803.54487</v>
      </c>
      <c r="N44" s="20">
        <f>H44*0.131</f>
        <v>571.46785</v>
      </c>
      <c r="O44" s="20">
        <f>H44*0.11022</f>
        <v>480.818217</v>
      </c>
      <c r="P44" s="26">
        <f>H44-K44-L44-M44-N44-O44</f>
        <v>868.892873</v>
      </c>
      <c r="Q44" s="26">
        <f>SUM(I44:P44)</f>
        <v>4362.35</v>
      </c>
      <c r="R44" s="24" t="e">
        <f>SUM(#REF!)</f>
        <v>#REF!</v>
      </c>
      <c r="S44" s="32">
        <f>B44+21</f>
        <v>104</v>
      </c>
      <c r="T44" s="11">
        <v>36</v>
      </c>
      <c r="U44" s="11"/>
      <c r="V44" s="11"/>
      <c r="W44" s="11"/>
      <c r="X44" s="11">
        <v>3</v>
      </c>
    </row>
    <row r="45" s="9" customFormat="1" ht="16.5" customHeight="1" spans="1:24">
      <c r="A45" s="21"/>
      <c r="B45" s="6"/>
      <c r="C45" s="5" t="s">
        <v>31</v>
      </c>
      <c r="D45" s="22">
        <v>575169.62</v>
      </c>
      <c r="E45" s="22">
        <v>786239.85</v>
      </c>
      <c r="F45" s="22">
        <v>126796.69</v>
      </c>
      <c r="G45" s="22">
        <v>4362.35</v>
      </c>
      <c r="H45" s="23">
        <v>1492568.51</v>
      </c>
      <c r="I45" s="20"/>
      <c r="J45" s="20"/>
      <c r="K45" s="20"/>
      <c r="L45" s="20"/>
      <c r="M45" s="20"/>
      <c r="N45" s="20"/>
      <c r="O45" s="20"/>
      <c r="P45" s="26"/>
      <c r="Q45" s="26"/>
      <c r="R45" s="24" t="e">
        <f>SUM(#REF!)</f>
        <v>#REF!</v>
      </c>
      <c r="S45" s="32">
        <f>B45+21</f>
        <v>21</v>
      </c>
      <c r="T45" s="11">
        <v>37</v>
      </c>
      <c r="U45" s="10"/>
      <c r="V45" s="10"/>
      <c r="W45" s="10"/>
      <c r="X45" s="10"/>
    </row>
    <row r="46" s="9" customFormat="1" ht="16.5" customHeight="1" spans="1:24">
      <c r="A46" s="21"/>
      <c r="B46" s="6"/>
      <c r="C46" s="5" t="s">
        <v>32</v>
      </c>
      <c r="D46" s="22">
        <v>4086920.82</v>
      </c>
      <c r="E46" s="22">
        <v>5576933.43</v>
      </c>
      <c r="F46" s="22">
        <v>884153.71</v>
      </c>
      <c r="G46" s="22">
        <v>31471.67</v>
      </c>
      <c r="H46" s="23">
        <v>10579479.63</v>
      </c>
      <c r="I46" s="20"/>
      <c r="J46" s="20"/>
      <c r="K46" s="20"/>
      <c r="L46" s="20"/>
      <c r="M46" s="20"/>
      <c r="N46" s="20"/>
      <c r="O46" s="20"/>
      <c r="P46" s="26"/>
      <c r="Q46" s="26"/>
      <c r="R46" s="24" t="e">
        <f>SUM(#REF!)</f>
        <v>#REF!</v>
      </c>
      <c r="S46" s="32">
        <f>B46+21</f>
        <v>21</v>
      </c>
      <c r="T46" s="11">
        <v>38</v>
      </c>
      <c r="U46" s="10"/>
      <c r="V46" s="10"/>
      <c r="W46" s="10"/>
      <c r="X46" s="10"/>
    </row>
    <row r="47" s="14" customFormat="1" ht="16.5" customHeight="1" spans="1:24">
      <c r="A47" s="6">
        <v>8</v>
      </c>
      <c r="B47" s="6">
        <v>48</v>
      </c>
      <c r="C47" s="18" t="s">
        <v>27</v>
      </c>
      <c r="D47" s="19">
        <v>579486.33</v>
      </c>
      <c r="E47" s="19"/>
      <c r="F47" s="19"/>
      <c r="G47" s="19"/>
      <c r="H47" s="20">
        <v>579486.33</v>
      </c>
      <c r="I47" s="20"/>
      <c r="J47" s="20"/>
      <c r="K47" s="20">
        <f>H47*0.1878</f>
        <v>108827.532774</v>
      </c>
      <c r="L47" s="20">
        <f>H47*0.1876</f>
        <v>108711.635508</v>
      </c>
      <c r="M47" s="20">
        <f>H47*0.1842</f>
        <v>106741.381986</v>
      </c>
      <c r="N47" s="20">
        <f>H47*0.131</f>
        <v>75912.70923</v>
      </c>
      <c r="O47" s="20">
        <f>H47*0.11022</f>
        <v>63870.9832926</v>
      </c>
      <c r="P47" s="26">
        <f>H47-K47-L47-M47-N47-O47</f>
        <v>115422.0872094</v>
      </c>
      <c r="Q47" s="26">
        <f>SUM(I47:P47)</f>
        <v>579486.33</v>
      </c>
      <c r="R47" s="24" t="e">
        <f>SUM(#REF!)</f>
        <v>#REF!</v>
      </c>
      <c r="S47" s="32">
        <f>B47+21</f>
        <v>69</v>
      </c>
      <c r="T47" s="11">
        <v>39</v>
      </c>
      <c r="U47" s="11"/>
      <c r="V47" s="11">
        <v>8</v>
      </c>
      <c r="W47" s="11"/>
      <c r="X47" s="11"/>
    </row>
    <row r="48" s="14" customFormat="1" ht="16.5" customHeight="1" spans="1:24">
      <c r="A48" s="6">
        <v>8</v>
      </c>
      <c r="B48" s="6">
        <v>85</v>
      </c>
      <c r="C48" s="18" t="s">
        <v>28</v>
      </c>
      <c r="D48" s="19"/>
      <c r="E48" s="19">
        <v>763331.91</v>
      </c>
      <c r="F48" s="19"/>
      <c r="G48" s="19"/>
      <c r="H48" s="20">
        <v>763331.91</v>
      </c>
      <c r="I48" s="20"/>
      <c r="J48" s="20"/>
      <c r="K48" s="20">
        <f>H48*0.1878</f>
        <v>143353.732698</v>
      </c>
      <c r="L48" s="20">
        <f>H48*0.1876</f>
        <v>143201.066316</v>
      </c>
      <c r="M48" s="20">
        <f>H48*0.1842</f>
        <v>140605.737822</v>
      </c>
      <c r="N48" s="20">
        <f>H48*0.131</f>
        <v>99996.48021</v>
      </c>
      <c r="O48" s="20">
        <f>H48*0.11022</f>
        <v>84134.4431202</v>
      </c>
      <c r="P48" s="26">
        <f>H48-K48-L48-M48-N48-O48</f>
        <v>152040.4498338</v>
      </c>
      <c r="Q48" s="26">
        <f>SUM(I48:P48)</f>
        <v>763331.91</v>
      </c>
      <c r="R48" s="24" t="e">
        <f>SUM(#REF!)</f>
        <v>#REF!</v>
      </c>
      <c r="S48" s="32">
        <f>B48+21</f>
        <v>106</v>
      </c>
      <c r="T48" s="11">
        <v>40</v>
      </c>
      <c r="U48" s="11">
        <v>8</v>
      </c>
      <c r="V48" s="11"/>
      <c r="W48" s="11"/>
      <c r="X48" s="11"/>
    </row>
    <row r="49" s="14" customFormat="1" ht="16.5" customHeight="1" spans="1:24">
      <c r="A49" s="6">
        <v>8</v>
      </c>
      <c r="B49" s="6">
        <v>54</v>
      </c>
      <c r="C49" s="18" t="s">
        <v>29</v>
      </c>
      <c r="D49" s="19"/>
      <c r="E49" s="19"/>
      <c r="F49" s="19">
        <v>128009.29</v>
      </c>
      <c r="G49" s="19"/>
      <c r="H49" s="20">
        <v>128009.29</v>
      </c>
      <c r="I49" s="20"/>
      <c r="J49" s="20"/>
      <c r="K49" s="20">
        <f>H49*0.1878</f>
        <v>24040.144662</v>
      </c>
      <c r="L49" s="20">
        <f>H49*0.1876</f>
        <v>24014.542804</v>
      </c>
      <c r="M49" s="20">
        <f>H49*0.1842</f>
        <v>23579.311218</v>
      </c>
      <c r="N49" s="20">
        <f>H49*0.131</f>
        <v>16769.21699</v>
      </c>
      <c r="O49" s="20">
        <f>H49*0.11022</f>
        <v>14109.1839438</v>
      </c>
      <c r="P49" s="26">
        <f>H49-K49-L49-M49-N49-O49</f>
        <v>25496.8903822</v>
      </c>
      <c r="Q49" s="26">
        <f>SUM(I49:P49)</f>
        <v>128009.29</v>
      </c>
      <c r="R49" s="24" t="e">
        <f>SUM(#REF!)</f>
        <v>#REF!</v>
      </c>
      <c r="S49" s="32">
        <f>B49+21</f>
        <v>75</v>
      </c>
      <c r="T49" s="11">
        <v>41</v>
      </c>
      <c r="U49" s="11"/>
      <c r="V49" s="11"/>
      <c r="W49" s="11">
        <v>8</v>
      </c>
      <c r="X49" s="11"/>
    </row>
    <row r="50" s="14" customFormat="1" ht="16.5" customHeight="1" spans="1:24">
      <c r="A50" s="6">
        <v>8</v>
      </c>
      <c r="B50" s="6">
        <v>21</v>
      </c>
      <c r="C50" s="18" t="s">
        <v>30</v>
      </c>
      <c r="D50" s="19"/>
      <c r="E50" s="19"/>
      <c r="F50" s="19"/>
      <c r="G50" s="19">
        <v>4505.52</v>
      </c>
      <c r="H50" s="20">
        <v>4505.52</v>
      </c>
      <c r="I50" s="20"/>
      <c r="J50" s="20"/>
      <c r="K50" s="20">
        <f>H50*0.1878</f>
        <v>846.136656</v>
      </c>
      <c r="L50" s="20">
        <f>H50*0.1876</f>
        <v>845.235552</v>
      </c>
      <c r="M50" s="20">
        <f>H50*0.1842</f>
        <v>829.916784</v>
      </c>
      <c r="N50" s="20">
        <f>H50*0.131</f>
        <v>590.22312</v>
      </c>
      <c r="O50" s="20">
        <f>H50*0.11022</f>
        <v>496.5984144</v>
      </c>
      <c r="P50" s="26">
        <f>H50-K50-L50-M50-N50-O50</f>
        <v>897.4094736</v>
      </c>
      <c r="Q50" s="26">
        <f>SUM(I50:P50)</f>
        <v>4505.52</v>
      </c>
      <c r="R50" s="24"/>
      <c r="S50" s="32">
        <f>B50+21</f>
        <v>42</v>
      </c>
      <c r="T50" s="11"/>
      <c r="U50" s="11"/>
      <c r="V50" s="11"/>
      <c r="W50" s="11"/>
      <c r="X50" s="11"/>
    </row>
    <row r="51" s="9" customFormat="1" ht="16.5" customHeight="1" spans="1:24">
      <c r="A51" s="21"/>
      <c r="B51" s="6"/>
      <c r="C51" s="5" t="s">
        <v>31</v>
      </c>
      <c r="D51" s="22">
        <v>579486.33</v>
      </c>
      <c r="E51" s="22">
        <v>763331.91</v>
      </c>
      <c r="F51" s="22">
        <v>128009.29</v>
      </c>
      <c r="G51" s="22">
        <v>4505.52</v>
      </c>
      <c r="H51" s="22">
        <v>1475333.05</v>
      </c>
      <c r="I51" s="20"/>
      <c r="J51" s="20"/>
      <c r="K51" s="20"/>
      <c r="L51" s="20"/>
      <c r="M51" s="20"/>
      <c r="N51" s="20"/>
      <c r="O51" s="20"/>
      <c r="P51" s="26"/>
      <c r="Q51" s="26"/>
      <c r="R51" s="24" t="e">
        <f>SUM(#REF!)</f>
        <v>#REF!</v>
      </c>
      <c r="S51" s="32">
        <f>B51+21</f>
        <v>21</v>
      </c>
      <c r="T51" s="11">
        <v>42</v>
      </c>
      <c r="U51" s="11"/>
      <c r="V51" s="10"/>
      <c r="W51" s="10"/>
      <c r="X51" s="10"/>
    </row>
    <row r="52" s="9" customFormat="1" ht="16.5" customHeight="1" spans="1:24">
      <c r="A52" s="21"/>
      <c r="B52" s="6"/>
      <c r="C52" s="5" t="s">
        <v>32</v>
      </c>
      <c r="D52" s="22">
        <v>4666407.15</v>
      </c>
      <c r="E52" s="22">
        <v>6340265.34</v>
      </c>
      <c r="F52" s="22">
        <v>1012163</v>
      </c>
      <c r="G52" s="22">
        <v>35977.19</v>
      </c>
      <c r="H52" s="23">
        <v>12054812.68</v>
      </c>
      <c r="I52" s="20"/>
      <c r="J52" s="20"/>
      <c r="K52" s="20"/>
      <c r="L52" s="20"/>
      <c r="M52" s="20"/>
      <c r="N52" s="20"/>
      <c r="O52" s="20"/>
      <c r="P52" s="26"/>
      <c r="Q52" s="26"/>
      <c r="R52" s="24" t="e">
        <f>SUM(#REF!)</f>
        <v>#REF!</v>
      </c>
      <c r="S52" s="32">
        <f>B52+21</f>
        <v>21</v>
      </c>
      <c r="T52" s="11">
        <v>43</v>
      </c>
      <c r="U52" s="11"/>
      <c r="V52" s="10"/>
      <c r="W52" s="10"/>
      <c r="X52" s="10"/>
    </row>
    <row r="53" s="9" customFormat="1" ht="16.5" customHeight="1" spans="1:24">
      <c r="A53" s="6">
        <v>9</v>
      </c>
      <c r="B53" s="6">
        <v>52</v>
      </c>
      <c r="C53" s="18" t="s">
        <v>27</v>
      </c>
      <c r="D53" s="19">
        <v>554645.23</v>
      </c>
      <c r="E53" s="19"/>
      <c r="F53" s="19"/>
      <c r="G53" s="19"/>
      <c r="H53" s="20">
        <v>554645.23</v>
      </c>
      <c r="I53" s="20"/>
      <c r="J53" s="20"/>
      <c r="K53" s="20"/>
      <c r="L53" s="20"/>
      <c r="M53" s="20">
        <f>H53*0.1942</f>
        <v>107712.103666</v>
      </c>
      <c r="N53" s="20">
        <f>H53*0.261</f>
        <v>144762.40503</v>
      </c>
      <c r="O53" s="20">
        <f>H53*0.22022</f>
        <v>122143.9725506</v>
      </c>
      <c r="P53" s="26">
        <f>H53-M53-N53-O53</f>
        <v>180026.7487534</v>
      </c>
      <c r="Q53" s="26">
        <f>SUM(I53:P53)</f>
        <v>554645.23</v>
      </c>
      <c r="R53" s="24" t="e">
        <f>SUM(#REF!)</f>
        <v>#REF!</v>
      </c>
      <c r="S53" s="32">
        <f>B53+21</f>
        <v>73</v>
      </c>
      <c r="T53" s="11">
        <v>44</v>
      </c>
      <c r="U53" s="11"/>
      <c r="V53" s="11">
        <v>9</v>
      </c>
      <c r="W53" s="10"/>
      <c r="X53" s="10"/>
    </row>
    <row r="54" s="9" customFormat="1" ht="16.5" customHeight="1" spans="1:24">
      <c r="A54" s="6">
        <v>9</v>
      </c>
      <c r="B54" s="6">
        <v>95</v>
      </c>
      <c r="C54" s="18" t="s">
        <v>28</v>
      </c>
      <c r="D54" s="19"/>
      <c r="E54" s="19">
        <v>821951.14</v>
      </c>
      <c r="F54" s="19"/>
      <c r="G54" s="19"/>
      <c r="H54" s="20">
        <v>821951.14</v>
      </c>
      <c r="I54" s="20"/>
      <c r="J54" s="20"/>
      <c r="K54" s="20"/>
      <c r="L54" s="20"/>
      <c r="M54" s="20">
        <f t="shared" ref="M54:M62" si="27">H54*0.1942</f>
        <v>159622.911388</v>
      </c>
      <c r="N54" s="20">
        <f t="shared" ref="N54:N62" si="28">H54*0.261</f>
        <v>214529.24754</v>
      </c>
      <c r="O54" s="20">
        <f t="shared" ref="O54:O62" si="29">H54*0.22022</f>
        <v>181010.0800508</v>
      </c>
      <c r="P54" s="26">
        <f t="shared" ref="P54:P62" si="30">H54-M54-N54-O54</f>
        <v>266788.9010212</v>
      </c>
      <c r="Q54" s="26">
        <f>SUM(I54:P54)</f>
        <v>821951.14</v>
      </c>
      <c r="R54" s="24" t="e">
        <f>SUM(#REF!)</f>
        <v>#REF!</v>
      </c>
      <c r="S54" s="32">
        <f>B54+21</f>
        <v>116</v>
      </c>
      <c r="T54" s="11">
        <v>45</v>
      </c>
      <c r="U54" s="11">
        <v>9</v>
      </c>
      <c r="V54" s="10"/>
      <c r="W54" s="10"/>
      <c r="X54" s="10"/>
    </row>
    <row r="55" s="9" customFormat="1" ht="16.5" customHeight="1" spans="1:24">
      <c r="A55" s="6">
        <v>9</v>
      </c>
      <c r="B55" s="6">
        <v>64</v>
      </c>
      <c r="C55" s="18" t="s">
        <v>29</v>
      </c>
      <c r="D55" s="19"/>
      <c r="E55" s="19"/>
      <c r="F55" s="19">
        <v>125514.32</v>
      </c>
      <c r="G55" s="19"/>
      <c r="H55" s="20">
        <v>125514.32</v>
      </c>
      <c r="I55" s="20"/>
      <c r="J55" s="20"/>
      <c r="K55" s="20"/>
      <c r="L55" s="20"/>
      <c r="M55" s="20">
        <f>H55*0.1942</f>
        <v>24374.880944</v>
      </c>
      <c r="N55" s="20">
        <f>H55*0.261</f>
        <v>32759.23752</v>
      </c>
      <c r="O55" s="20">
        <f>H55*0.22022</f>
        <v>27640.7635504</v>
      </c>
      <c r="P55" s="26">
        <f>H55-M55-N55-O55</f>
        <v>40739.4379856</v>
      </c>
      <c r="Q55" s="26">
        <f>SUM(I55:P55)</f>
        <v>125514.32</v>
      </c>
      <c r="R55" s="24" t="e">
        <f>SUM(#REF!)</f>
        <v>#REF!</v>
      </c>
      <c r="S55" s="32">
        <f>B55+21</f>
        <v>85</v>
      </c>
      <c r="T55" s="11">
        <v>46</v>
      </c>
      <c r="U55" s="11"/>
      <c r="V55" s="10"/>
      <c r="W55" s="10">
        <v>9</v>
      </c>
      <c r="X55" s="11"/>
    </row>
    <row r="56" s="9" customFormat="1" ht="16.5" customHeight="1" spans="1:24">
      <c r="A56" s="6">
        <v>9</v>
      </c>
      <c r="B56" s="6">
        <v>66</v>
      </c>
      <c r="C56" s="18" t="s">
        <v>30</v>
      </c>
      <c r="D56" s="19"/>
      <c r="E56" s="19"/>
      <c r="F56" s="19"/>
      <c r="G56" s="19">
        <v>4351.14</v>
      </c>
      <c r="H56" s="20">
        <v>4351.14</v>
      </c>
      <c r="I56" s="20"/>
      <c r="J56" s="20"/>
      <c r="K56" s="20"/>
      <c r="L56" s="20"/>
      <c r="M56" s="20">
        <f>H56*0.1942</f>
        <v>844.991388</v>
      </c>
      <c r="N56" s="20">
        <f>H56*0.261</f>
        <v>1135.64754</v>
      </c>
      <c r="O56" s="20">
        <f>H56*0.22022</f>
        <v>958.2080508</v>
      </c>
      <c r="P56" s="26">
        <f>H56-M56-N56-O56</f>
        <v>1412.2930212</v>
      </c>
      <c r="Q56" s="26">
        <f>SUM(I56:P56)</f>
        <v>4351.14</v>
      </c>
      <c r="R56" s="24" t="e">
        <f>SUM(#REF!)</f>
        <v>#REF!</v>
      </c>
      <c r="S56" s="32">
        <f>B56+21</f>
        <v>87</v>
      </c>
      <c r="T56" s="11">
        <v>47</v>
      </c>
      <c r="U56" s="10"/>
      <c r="V56" s="10"/>
      <c r="W56" s="11"/>
      <c r="X56" s="10">
        <v>4</v>
      </c>
    </row>
    <row r="57" s="9" customFormat="1" ht="16.5" customHeight="1" spans="1:24">
      <c r="A57" s="21"/>
      <c r="B57" s="6"/>
      <c r="C57" s="5" t="s">
        <v>31</v>
      </c>
      <c r="D57" s="22">
        <v>554645.23</v>
      </c>
      <c r="E57" s="22">
        <v>821951.14</v>
      </c>
      <c r="F57" s="22">
        <v>125514.32</v>
      </c>
      <c r="G57" s="22">
        <v>4351.14</v>
      </c>
      <c r="H57" s="23">
        <v>1506461.83</v>
      </c>
      <c r="I57" s="20"/>
      <c r="J57" s="20"/>
      <c r="K57" s="20"/>
      <c r="L57" s="20"/>
      <c r="M57" s="20"/>
      <c r="N57" s="20"/>
      <c r="O57" s="20"/>
      <c r="P57" s="26"/>
      <c r="Q57" s="26"/>
      <c r="R57" s="24" t="e">
        <f>SUM(#REF!)</f>
        <v>#REF!</v>
      </c>
      <c r="S57" s="32">
        <f>B57+21</f>
        <v>21</v>
      </c>
      <c r="T57" s="11">
        <v>48</v>
      </c>
      <c r="U57" s="10"/>
      <c r="V57" s="10"/>
      <c r="W57" s="10"/>
      <c r="X57" s="10"/>
    </row>
    <row r="58" s="9" customFormat="1" ht="16.5" customHeight="1" spans="1:24">
      <c r="A58" s="21"/>
      <c r="B58" s="6"/>
      <c r="C58" s="5" t="s">
        <v>32</v>
      </c>
      <c r="D58" s="22">
        <v>5221052.38</v>
      </c>
      <c r="E58" s="22">
        <v>7162216.48</v>
      </c>
      <c r="F58" s="22">
        <v>1137677.32</v>
      </c>
      <c r="G58" s="22">
        <v>40328.33</v>
      </c>
      <c r="H58" s="23">
        <v>13561274.51</v>
      </c>
      <c r="I58" s="20"/>
      <c r="J58" s="20"/>
      <c r="K58" s="20"/>
      <c r="L58" s="20"/>
      <c r="M58" s="20"/>
      <c r="N58" s="20"/>
      <c r="O58" s="20"/>
      <c r="P58" s="26"/>
      <c r="Q58" s="26"/>
      <c r="R58" s="24" t="e">
        <f>SUM(#REF!)</f>
        <v>#REF!</v>
      </c>
      <c r="S58" s="32">
        <f>B58+21</f>
        <v>21</v>
      </c>
      <c r="T58" s="11">
        <v>49</v>
      </c>
      <c r="U58" s="10"/>
      <c r="V58" s="10"/>
      <c r="W58" s="10"/>
      <c r="X58" s="10"/>
    </row>
    <row r="59" s="14" customFormat="1" ht="16.5" customHeight="1" spans="1:24">
      <c r="A59" s="6">
        <v>10</v>
      </c>
      <c r="B59" s="6">
        <v>33</v>
      </c>
      <c r="C59" s="18" t="s">
        <v>27</v>
      </c>
      <c r="D59" s="19">
        <v>550711.77</v>
      </c>
      <c r="E59" s="24"/>
      <c r="F59" s="24"/>
      <c r="G59" s="24"/>
      <c r="H59" s="20">
        <v>550711.77</v>
      </c>
      <c r="I59" s="20"/>
      <c r="J59" s="20"/>
      <c r="K59" s="20"/>
      <c r="L59" s="20"/>
      <c r="M59" s="20">
        <f>H59*0.1942</f>
        <v>106948.225734</v>
      </c>
      <c r="N59" s="20">
        <f>H59*0.261</f>
        <v>143735.77197</v>
      </c>
      <c r="O59" s="20">
        <f>H59*0.22022</f>
        <v>121277.7459894</v>
      </c>
      <c r="P59" s="26">
        <f>H59-M59-N59-O59</f>
        <v>178750.0263066</v>
      </c>
      <c r="Q59" s="26">
        <f>SUM(I59:P59)</f>
        <v>550711.77</v>
      </c>
      <c r="R59" s="24" t="e">
        <f>SUM(#REF!)</f>
        <v>#REF!</v>
      </c>
      <c r="S59" s="32">
        <f>B59+21</f>
        <v>54</v>
      </c>
      <c r="T59" s="11">
        <v>50</v>
      </c>
      <c r="U59" s="11"/>
      <c r="V59" s="11">
        <v>10</v>
      </c>
      <c r="W59" s="11"/>
      <c r="X59" s="11"/>
    </row>
    <row r="60" s="14" customFormat="1" ht="16.5" customHeight="1" spans="1:24">
      <c r="A60" s="6">
        <v>10</v>
      </c>
      <c r="B60" s="6">
        <v>72</v>
      </c>
      <c r="C60" s="18" t="s">
        <v>28</v>
      </c>
      <c r="D60" s="19"/>
      <c r="E60" s="19">
        <v>805002.92</v>
      </c>
      <c r="F60" s="24"/>
      <c r="G60" s="24"/>
      <c r="H60" s="20">
        <v>805002.92</v>
      </c>
      <c r="I60" s="20"/>
      <c r="J60" s="20"/>
      <c r="K60" s="20"/>
      <c r="L60" s="20"/>
      <c r="M60" s="20">
        <f>H60*0.1942</f>
        <v>156331.567064</v>
      </c>
      <c r="N60" s="20">
        <f>H60*0.261</f>
        <v>210105.76212</v>
      </c>
      <c r="O60" s="20">
        <f>H60*0.22022</f>
        <v>177277.7430424</v>
      </c>
      <c r="P60" s="26">
        <f>H60-M60-N60-O60</f>
        <v>261287.8477736</v>
      </c>
      <c r="Q60" s="26">
        <f>SUM(I60:P60)</f>
        <v>805002.92</v>
      </c>
      <c r="R60" s="24" t="e">
        <f>SUM(#REF!)</f>
        <v>#REF!</v>
      </c>
      <c r="S60" s="32">
        <f>B60+21</f>
        <v>93</v>
      </c>
      <c r="T60" s="11">
        <v>51</v>
      </c>
      <c r="U60" s="11">
        <v>10</v>
      </c>
      <c r="V60" s="11"/>
      <c r="W60" s="11"/>
      <c r="X60" s="11"/>
    </row>
    <row r="61" s="14" customFormat="1" ht="16.5" customHeight="1" spans="1:24">
      <c r="A61" s="6">
        <v>10</v>
      </c>
      <c r="B61" s="6">
        <v>65</v>
      </c>
      <c r="C61" s="18" t="s">
        <v>29</v>
      </c>
      <c r="D61" s="19"/>
      <c r="E61" s="19"/>
      <c r="F61" s="19">
        <v>121468.77</v>
      </c>
      <c r="G61" s="24"/>
      <c r="H61" s="20">
        <v>121468.77</v>
      </c>
      <c r="I61" s="20"/>
      <c r="J61" s="20"/>
      <c r="K61" s="20"/>
      <c r="L61" s="20"/>
      <c r="M61" s="20">
        <f>H61*0.1942</f>
        <v>23589.235134</v>
      </c>
      <c r="N61" s="20">
        <f>H61*0.261</f>
        <v>31703.34897</v>
      </c>
      <c r="O61" s="20">
        <f>H61*0.22022</f>
        <v>26749.8525294</v>
      </c>
      <c r="P61" s="26">
        <f>H61-M61-N61-O61</f>
        <v>39426.3333666</v>
      </c>
      <c r="Q61" s="26">
        <f>SUM(I61:P61)</f>
        <v>121468.77</v>
      </c>
      <c r="R61" s="24" t="e">
        <f>SUM(#REF!)</f>
        <v>#REF!</v>
      </c>
      <c r="S61" s="32">
        <f>B61+21</f>
        <v>86</v>
      </c>
      <c r="T61" s="11">
        <v>52</v>
      </c>
      <c r="U61" s="11"/>
      <c r="V61" s="11"/>
      <c r="W61" s="11">
        <v>10</v>
      </c>
      <c r="X61" s="11"/>
    </row>
    <row r="62" s="14" customFormat="1" ht="16.5" customHeight="1" spans="1:24">
      <c r="A62" s="6">
        <v>10</v>
      </c>
      <c r="B62" s="6">
        <v>53</v>
      </c>
      <c r="C62" s="18" t="s">
        <v>30</v>
      </c>
      <c r="D62" s="19"/>
      <c r="E62" s="24"/>
      <c r="F62" s="19"/>
      <c r="G62" s="19">
        <v>4743.05</v>
      </c>
      <c r="H62" s="20">
        <v>4743.05</v>
      </c>
      <c r="I62" s="20"/>
      <c r="J62" s="20"/>
      <c r="K62" s="20"/>
      <c r="L62" s="20"/>
      <c r="M62" s="20">
        <f>H62*0.1942</f>
        <v>921.10031</v>
      </c>
      <c r="N62" s="20">
        <f>H62*0.261</f>
        <v>1237.93605</v>
      </c>
      <c r="O62" s="20">
        <f>H62*0.22022</f>
        <v>1044.514471</v>
      </c>
      <c r="P62" s="26">
        <f>H62-M62-N62-O62</f>
        <v>1539.499169</v>
      </c>
      <c r="Q62" s="26">
        <f>SUM(I62:P62)</f>
        <v>4743.05</v>
      </c>
      <c r="R62" s="24" t="e">
        <f>SUM(#REF!)</f>
        <v>#REF!</v>
      </c>
      <c r="S62" s="32">
        <f>B62+21</f>
        <v>74</v>
      </c>
      <c r="T62" s="11">
        <v>53</v>
      </c>
      <c r="U62" s="11"/>
      <c r="V62" s="11"/>
      <c r="W62" s="11"/>
      <c r="X62" s="11">
        <v>5</v>
      </c>
    </row>
    <row r="63" s="10" customFormat="1" ht="16.5" customHeight="1" spans="1:20">
      <c r="A63" s="6"/>
      <c r="B63" s="6"/>
      <c r="C63" s="5" t="s">
        <v>31</v>
      </c>
      <c r="D63" s="22">
        <v>550711.77</v>
      </c>
      <c r="E63" s="22">
        <v>805002.92</v>
      </c>
      <c r="F63" s="22">
        <v>121468.77</v>
      </c>
      <c r="G63" s="22">
        <v>4743.05</v>
      </c>
      <c r="H63" s="23">
        <v>1481926.51</v>
      </c>
      <c r="I63" s="20"/>
      <c r="J63" s="20"/>
      <c r="K63" s="20"/>
      <c r="L63" s="20"/>
      <c r="M63" s="20"/>
      <c r="N63" s="20"/>
      <c r="O63" s="20"/>
      <c r="P63" s="26"/>
      <c r="Q63" s="26"/>
      <c r="R63" s="24" t="e">
        <f>SUM(#REF!)</f>
        <v>#REF!</v>
      </c>
      <c r="S63" s="32">
        <f>B63+21</f>
        <v>21</v>
      </c>
      <c r="T63" s="11">
        <v>54</v>
      </c>
    </row>
    <row r="64" s="10" customFormat="1" ht="16.5" customHeight="1" spans="1:20">
      <c r="A64" s="6"/>
      <c r="B64" s="6"/>
      <c r="C64" s="5" t="s">
        <v>32</v>
      </c>
      <c r="D64" s="22">
        <v>5771764.15</v>
      </c>
      <c r="E64" s="22">
        <v>7967219.4</v>
      </c>
      <c r="F64" s="22">
        <v>1259146.09</v>
      </c>
      <c r="G64" s="22">
        <v>45071.38</v>
      </c>
      <c r="H64" s="23">
        <v>15043201.02</v>
      </c>
      <c r="I64" s="20"/>
      <c r="J64" s="20"/>
      <c r="K64" s="20"/>
      <c r="L64" s="20"/>
      <c r="M64" s="20"/>
      <c r="N64" s="20"/>
      <c r="O64" s="20"/>
      <c r="P64" s="26"/>
      <c r="Q64" s="26"/>
      <c r="R64" s="24" t="e">
        <f>SUM(#REF!)</f>
        <v>#REF!</v>
      </c>
      <c r="S64" s="32">
        <f>B64+21</f>
        <v>21</v>
      </c>
      <c r="T64" s="11">
        <v>55</v>
      </c>
    </row>
    <row r="65" s="14" customFormat="1" ht="16.5" customHeight="1" spans="1:24">
      <c r="A65" s="6">
        <v>11</v>
      </c>
      <c r="B65" s="6">
        <v>45</v>
      </c>
      <c r="C65" s="18" t="s">
        <v>27</v>
      </c>
      <c r="D65" s="19">
        <v>591018.5</v>
      </c>
      <c r="E65" s="19"/>
      <c r="F65" s="19"/>
      <c r="G65" s="19"/>
      <c r="H65" s="20">
        <v>591018.5</v>
      </c>
      <c r="I65" s="20"/>
      <c r="J65" s="20"/>
      <c r="K65" s="20"/>
      <c r="L65" s="20"/>
      <c r="M65" s="20"/>
      <c r="N65" s="20"/>
      <c r="O65" s="20">
        <f>H65*0.41</f>
        <v>242317.585</v>
      </c>
      <c r="P65" s="26">
        <f>H65-O65</f>
        <v>348700.915</v>
      </c>
      <c r="Q65" s="26">
        <f>SUM(I65:P65)</f>
        <v>591018.5</v>
      </c>
      <c r="R65" s="24" t="e">
        <f>SUM(#REF!)</f>
        <v>#REF!</v>
      </c>
      <c r="S65" s="32">
        <f>B65+21</f>
        <v>66</v>
      </c>
      <c r="T65" s="11">
        <v>56</v>
      </c>
      <c r="U65" s="11"/>
      <c r="V65" s="11">
        <v>11</v>
      </c>
      <c r="W65" s="11"/>
      <c r="X65" s="11"/>
    </row>
    <row r="66" s="14" customFormat="1" ht="16.5" customHeight="1" spans="1:24">
      <c r="A66" s="6">
        <v>11</v>
      </c>
      <c r="B66" s="6">
        <v>91</v>
      </c>
      <c r="C66" s="18" t="s">
        <v>28</v>
      </c>
      <c r="D66" s="19"/>
      <c r="E66" s="19">
        <v>780129.21</v>
      </c>
      <c r="F66" s="19"/>
      <c r="G66" s="19"/>
      <c r="H66" s="20">
        <v>780129.21</v>
      </c>
      <c r="I66" s="20"/>
      <c r="J66" s="20"/>
      <c r="K66" s="20"/>
      <c r="L66" s="20"/>
      <c r="M66" s="20"/>
      <c r="N66" s="20"/>
      <c r="O66" s="20">
        <f t="shared" ref="O66:O74" si="31">H66*0.41</f>
        <v>319852.9761</v>
      </c>
      <c r="P66" s="26">
        <f t="shared" ref="P66:P74" si="32">H66-O66</f>
        <v>460276.2339</v>
      </c>
      <c r="Q66" s="26">
        <f>SUM(I66:P66)</f>
        <v>780129.21</v>
      </c>
      <c r="R66" s="24" t="e">
        <f>SUM(#REF!)</f>
        <v>#REF!</v>
      </c>
      <c r="S66" s="32">
        <f>B66+21</f>
        <v>112</v>
      </c>
      <c r="T66" s="11">
        <v>57</v>
      </c>
      <c r="U66" s="11">
        <v>11</v>
      </c>
      <c r="V66" s="11"/>
      <c r="W66" s="11"/>
      <c r="X66" s="11"/>
    </row>
    <row r="67" s="14" customFormat="1" ht="16.5" customHeight="1" spans="1:24">
      <c r="A67" s="6">
        <v>11</v>
      </c>
      <c r="B67" s="6">
        <v>54</v>
      </c>
      <c r="C67" s="18" t="s">
        <v>29</v>
      </c>
      <c r="D67" s="19"/>
      <c r="E67" s="19"/>
      <c r="F67" s="19">
        <v>125690.39</v>
      </c>
      <c r="G67" s="19"/>
      <c r="H67" s="20">
        <v>125690.39</v>
      </c>
      <c r="I67" s="20"/>
      <c r="J67" s="20"/>
      <c r="K67" s="20"/>
      <c r="L67" s="20"/>
      <c r="M67" s="20"/>
      <c r="N67" s="20"/>
      <c r="O67" s="20">
        <f>H67*0.41</f>
        <v>51533.0599</v>
      </c>
      <c r="P67" s="26">
        <f>H67-O67</f>
        <v>74157.3301</v>
      </c>
      <c r="Q67" s="26">
        <f>SUM(I67:P67)</f>
        <v>125690.39</v>
      </c>
      <c r="R67" s="24" t="e">
        <f>SUM(#REF!)</f>
        <v>#REF!</v>
      </c>
      <c r="S67" s="32">
        <f>B67+21</f>
        <v>75</v>
      </c>
      <c r="T67" s="11">
        <v>58</v>
      </c>
      <c r="U67" s="11"/>
      <c r="V67" s="11"/>
      <c r="W67" s="11">
        <v>11</v>
      </c>
      <c r="X67" s="11"/>
    </row>
    <row r="68" s="14" customFormat="1" ht="16.5" customHeight="1" spans="1:24">
      <c r="A68" s="6">
        <v>11</v>
      </c>
      <c r="B68" s="6">
        <v>21</v>
      </c>
      <c r="C68" s="18" t="s">
        <v>30</v>
      </c>
      <c r="D68" s="19"/>
      <c r="E68" s="19"/>
      <c r="F68" s="19"/>
      <c r="G68" s="19">
        <v>4364.11</v>
      </c>
      <c r="H68" s="20">
        <v>4364.11</v>
      </c>
      <c r="I68" s="20"/>
      <c r="J68" s="20"/>
      <c r="K68" s="20"/>
      <c r="L68" s="20"/>
      <c r="M68" s="20"/>
      <c r="N68" s="20"/>
      <c r="O68" s="20">
        <f>H68*0.41</f>
        <v>1789.2851</v>
      </c>
      <c r="P68" s="26">
        <f>H68-O68</f>
        <v>2574.8249</v>
      </c>
      <c r="Q68" s="26">
        <f>SUM(I68:P68)</f>
        <v>4364.11</v>
      </c>
      <c r="R68" s="24"/>
      <c r="S68" s="32">
        <f>B68+21</f>
        <v>42</v>
      </c>
      <c r="T68" s="11"/>
      <c r="U68" s="11"/>
      <c r="V68" s="11"/>
      <c r="W68" s="11"/>
      <c r="X68" s="11"/>
    </row>
    <row r="69" s="9" customFormat="1" ht="16.5" customHeight="1" spans="1:24">
      <c r="A69" s="21"/>
      <c r="B69" s="6"/>
      <c r="C69" s="5" t="s">
        <v>31</v>
      </c>
      <c r="D69" s="22">
        <v>591018.5</v>
      </c>
      <c r="E69" s="22">
        <v>780129.21</v>
      </c>
      <c r="F69" s="22">
        <v>125690.39</v>
      </c>
      <c r="G69" s="22">
        <v>4364.11</v>
      </c>
      <c r="H69" s="22">
        <v>1501202.21</v>
      </c>
      <c r="I69" s="20"/>
      <c r="J69" s="20"/>
      <c r="K69" s="20"/>
      <c r="L69" s="20"/>
      <c r="M69" s="20"/>
      <c r="N69" s="20"/>
      <c r="O69" s="20"/>
      <c r="P69" s="26"/>
      <c r="Q69" s="26"/>
      <c r="R69" s="24" t="e">
        <f>SUM(#REF!)</f>
        <v>#REF!</v>
      </c>
      <c r="S69" s="32">
        <f>B69+21</f>
        <v>21</v>
      </c>
      <c r="T69" s="11">
        <v>59</v>
      </c>
      <c r="U69" s="11"/>
      <c r="V69" s="10"/>
      <c r="W69" s="10"/>
      <c r="X69" s="10"/>
    </row>
    <row r="70" s="9" customFormat="1" ht="16.5" customHeight="1" spans="1:24">
      <c r="A70" s="21"/>
      <c r="B70" s="6"/>
      <c r="C70" s="5" t="s">
        <v>32</v>
      </c>
      <c r="D70" s="22">
        <v>6362782.65</v>
      </c>
      <c r="E70" s="22">
        <v>8747348.61</v>
      </c>
      <c r="F70" s="22">
        <v>1384836.48</v>
      </c>
      <c r="G70" s="22">
        <v>49435.49</v>
      </c>
      <c r="H70" s="23">
        <v>16544403.23</v>
      </c>
      <c r="I70" s="20"/>
      <c r="J70" s="20"/>
      <c r="K70" s="20"/>
      <c r="L70" s="20"/>
      <c r="M70" s="20"/>
      <c r="N70" s="20"/>
      <c r="O70" s="20"/>
      <c r="P70" s="26"/>
      <c r="Q70" s="26"/>
      <c r="R70" s="24" t="e">
        <f>SUM(#REF!)</f>
        <v>#REF!</v>
      </c>
      <c r="S70" s="32">
        <f>B70+21</f>
        <v>21</v>
      </c>
      <c r="T70" s="11">
        <v>60</v>
      </c>
      <c r="U70" s="10"/>
      <c r="V70" s="10"/>
      <c r="W70" s="10"/>
      <c r="X70" s="10"/>
    </row>
    <row r="71" s="14" customFormat="1" ht="16.5" customHeight="1" spans="1:24">
      <c r="A71" s="6">
        <v>12</v>
      </c>
      <c r="B71" s="6">
        <v>51</v>
      </c>
      <c r="C71" s="18" t="s">
        <v>27</v>
      </c>
      <c r="D71" s="19">
        <v>502844.15</v>
      </c>
      <c r="E71" s="19"/>
      <c r="F71" s="19"/>
      <c r="G71" s="19"/>
      <c r="H71" s="20">
        <f t="shared" ref="H71:H74" si="33">SUM(D71:G71)</f>
        <v>502844.15</v>
      </c>
      <c r="I71" s="20"/>
      <c r="J71" s="20"/>
      <c r="K71" s="20"/>
      <c r="L71" s="20"/>
      <c r="M71" s="20"/>
      <c r="N71" s="20"/>
      <c r="O71" s="20">
        <f>H71*0.41</f>
        <v>206166.1015</v>
      </c>
      <c r="P71" s="26">
        <f>H71-O71</f>
        <v>296678.0485</v>
      </c>
      <c r="Q71" s="26">
        <f t="shared" ref="Q71:Q74" si="34">SUM(I71:P71)</f>
        <v>502844.15</v>
      </c>
      <c r="R71" s="24" t="e">
        <f>SUM(#REF!)</f>
        <v>#REF!</v>
      </c>
      <c r="S71" s="32">
        <f>B71+21</f>
        <v>72</v>
      </c>
      <c r="T71" s="11">
        <v>61</v>
      </c>
      <c r="U71" s="11"/>
      <c r="V71" s="11">
        <v>12</v>
      </c>
      <c r="W71" s="11"/>
      <c r="X71" s="11"/>
    </row>
    <row r="72" s="14" customFormat="1" ht="16.5" customHeight="1" spans="1:24">
      <c r="A72" s="6">
        <v>12</v>
      </c>
      <c r="B72" s="6">
        <v>58</v>
      </c>
      <c r="C72" s="18" t="s">
        <v>28</v>
      </c>
      <c r="D72" s="19"/>
      <c r="E72" s="19">
        <v>758600.89</v>
      </c>
      <c r="F72" s="19"/>
      <c r="G72" s="19"/>
      <c r="H72" s="20">
        <f>SUM(D72:G72)</f>
        <v>758600.89</v>
      </c>
      <c r="I72" s="20"/>
      <c r="J72" s="20"/>
      <c r="K72" s="20"/>
      <c r="L72" s="20"/>
      <c r="M72" s="20"/>
      <c r="N72" s="20"/>
      <c r="O72" s="20">
        <f>H72*0.41</f>
        <v>311026.3649</v>
      </c>
      <c r="P72" s="26">
        <f>H72-O72</f>
        <v>447574.5251</v>
      </c>
      <c r="Q72" s="26">
        <f>SUM(I72:P72)</f>
        <v>758600.89</v>
      </c>
      <c r="R72" s="24" t="e">
        <f>SUM(#REF!)</f>
        <v>#REF!</v>
      </c>
      <c r="S72" s="32">
        <f>B72+21</f>
        <v>79</v>
      </c>
      <c r="T72" s="11">
        <v>62</v>
      </c>
      <c r="U72" s="11">
        <v>12</v>
      </c>
      <c r="V72" s="11"/>
      <c r="W72" s="11"/>
      <c r="X72" s="11"/>
    </row>
    <row r="73" s="14" customFormat="1" ht="16.5" customHeight="1" spans="1:24">
      <c r="A73" s="6">
        <v>12</v>
      </c>
      <c r="B73" s="6">
        <v>107</v>
      </c>
      <c r="C73" s="18" t="s">
        <v>29</v>
      </c>
      <c r="D73" s="19"/>
      <c r="E73" s="19"/>
      <c r="F73" s="19">
        <v>115281.28</v>
      </c>
      <c r="G73" s="19"/>
      <c r="H73" s="20">
        <f>SUM(D73:G73)</f>
        <v>115281.28</v>
      </c>
      <c r="I73" s="20"/>
      <c r="J73" s="20"/>
      <c r="K73" s="20"/>
      <c r="L73" s="20"/>
      <c r="M73" s="20"/>
      <c r="N73" s="20"/>
      <c r="O73" s="20">
        <f>H73*0.41</f>
        <v>47265.3248</v>
      </c>
      <c r="P73" s="26">
        <f>H73-O73</f>
        <v>68015.9552</v>
      </c>
      <c r="Q73" s="26">
        <f>SUM(I73:P73)</f>
        <v>115281.28</v>
      </c>
      <c r="R73" s="24" t="e">
        <f>SUM(#REF!)</f>
        <v>#REF!</v>
      </c>
      <c r="S73" s="32">
        <f>B73+21</f>
        <v>128</v>
      </c>
      <c r="T73" s="11">
        <v>63</v>
      </c>
      <c r="U73" s="11"/>
      <c r="V73" s="11"/>
      <c r="W73" s="11">
        <v>12</v>
      </c>
      <c r="X73" s="11"/>
    </row>
    <row r="74" s="14" customFormat="1" ht="16.5" customHeight="1" spans="1:24">
      <c r="A74" s="6">
        <v>12</v>
      </c>
      <c r="B74" s="6">
        <v>78</v>
      </c>
      <c r="C74" s="18" t="s">
        <v>30</v>
      </c>
      <c r="D74" s="19"/>
      <c r="E74" s="19"/>
      <c r="F74" s="19"/>
      <c r="G74" s="19">
        <v>4870.45</v>
      </c>
      <c r="H74" s="20">
        <f>SUM(D74:G74)</f>
        <v>4870.45</v>
      </c>
      <c r="I74" s="20"/>
      <c r="J74" s="20"/>
      <c r="K74" s="20"/>
      <c r="L74" s="20"/>
      <c r="M74" s="20"/>
      <c r="N74" s="20"/>
      <c r="O74" s="20">
        <f>H74*0.41</f>
        <v>1996.8845</v>
      </c>
      <c r="P74" s="26">
        <f>H74-O74</f>
        <v>2873.5655</v>
      </c>
      <c r="Q74" s="26">
        <f>SUM(I74:P74)</f>
        <v>4870.45</v>
      </c>
      <c r="R74" s="24" t="e">
        <f>SUM(#REF!)</f>
        <v>#REF!</v>
      </c>
      <c r="S74" s="32">
        <f>B74+21</f>
        <v>99</v>
      </c>
      <c r="T74" s="11">
        <v>64</v>
      </c>
      <c r="U74" s="11"/>
      <c r="V74" s="11"/>
      <c r="W74" s="11"/>
      <c r="X74" s="11">
        <v>6</v>
      </c>
    </row>
    <row r="75" s="14" customFormat="1" ht="16.5" customHeight="1" spans="1:24">
      <c r="A75" s="6"/>
      <c r="B75" s="6"/>
      <c r="C75" s="5" t="s">
        <v>31</v>
      </c>
      <c r="D75" s="22">
        <f t="shared" ref="D75:H75" si="35">SUM(D71:D74)</f>
        <v>502844.15</v>
      </c>
      <c r="E75" s="22">
        <f>SUM(E71:E74)</f>
        <v>758600.89</v>
      </c>
      <c r="F75" s="22">
        <f>SUM(F71:F74)</f>
        <v>115281.28</v>
      </c>
      <c r="G75" s="22">
        <f>SUM(G71:G74)</f>
        <v>4870.45</v>
      </c>
      <c r="H75" s="22">
        <f>SUM(H71:H74)</f>
        <v>1381596.77</v>
      </c>
      <c r="I75" s="20"/>
      <c r="J75" s="20"/>
      <c r="K75" s="20"/>
      <c r="L75" s="20"/>
      <c r="M75" s="20"/>
      <c r="N75" s="20"/>
      <c r="O75" s="20"/>
      <c r="P75" s="26"/>
      <c r="Q75" s="26"/>
      <c r="R75" s="24" t="e">
        <f>SUM(#REF!)</f>
        <v>#REF!</v>
      </c>
      <c r="S75" s="32" t="e">
        <f>R75-H75</f>
        <v>#REF!</v>
      </c>
      <c r="T75" s="11">
        <v>65</v>
      </c>
      <c r="U75" s="11"/>
      <c r="V75" s="11"/>
      <c r="W75" s="11"/>
      <c r="X75" s="11"/>
    </row>
    <row r="76" s="14" customFormat="1" ht="16.5" customHeight="1" spans="1:24">
      <c r="A76" s="6"/>
      <c r="B76" s="6"/>
      <c r="C76" s="22" t="s">
        <v>32</v>
      </c>
      <c r="D76" s="22">
        <f t="shared" ref="D76:H76" si="36">D70+D75</f>
        <v>6865626.8</v>
      </c>
      <c r="E76" s="22">
        <f>E70+E75</f>
        <v>9505949.5</v>
      </c>
      <c r="F76" s="22">
        <f>F70+F75</f>
        <v>1500117.76</v>
      </c>
      <c r="G76" s="22">
        <f>G70+G75</f>
        <v>54305.94</v>
      </c>
      <c r="H76" s="22">
        <f>H70+H75</f>
        <v>17926000</v>
      </c>
      <c r="I76" s="48">
        <f t="shared" ref="I76:Q76" si="37">SUM(I5:I75)</f>
        <v>2425615.46711</v>
      </c>
      <c r="J76" s="48">
        <f>SUM(J5:J75)</f>
        <v>2906167.249226</v>
      </c>
      <c r="K76" s="48">
        <f>SUM(K5:K75)</f>
        <v>1747178.797448</v>
      </c>
      <c r="L76" s="48">
        <f>SUM(L5:L75)</f>
        <v>1989544.4764</v>
      </c>
      <c r="M76" s="48">
        <f>SUM(M5:M75)</f>
        <v>1587420.84698</v>
      </c>
      <c r="N76" s="48">
        <f>SUM(N5:N75)</f>
        <v>1840931.47254</v>
      </c>
      <c r="O76" s="48">
        <f>SUM(O5:O75)</f>
        <v>2167172.571978</v>
      </c>
      <c r="P76" s="48">
        <f>SUM(P5:P75)</f>
        <v>3261969.118318</v>
      </c>
      <c r="Q76" s="48">
        <f>SUM(Q5:Q75)</f>
        <v>17926000</v>
      </c>
      <c r="R76" s="23" t="e">
        <f>SUM(R4:R75)</f>
        <v>#REF!</v>
      </c>
      <c r="S76" s="32" t="e">
        <f>R76-H76</f>
        <v>#REF!</v>
      </c>
      <c r="T76" s="11">
        <v>66</v>
      </c>
      <c r="U76" s="11"/>
      <c r="V76" s="11"/>
      <c r="W76" s="11"/>
      <c r="X76" s="11"/>
    </row>
    <row r="77" s="14" customFormat="1" spans="1:24">
      <c r="A77" s="33"/>
      <c r="B77" s="33"/>
      <c r="C77" s="34"/>
      <c r="D77" s="35">
        <f t="shared" ref="D77:G77" si="38">D76/$H$76</f>
        <v>0.382998259511324</v>
      </c>
      <c r="E77" s="35">
        <f>E76/$H$76</f>
        <v>0.530288380006694</v>
      </c>
      <c r="F77" s="35">
        <f>F76/$H$76</f>
        <v>0.083683909405333</v>
      </c>
      <c r="G77" s="35">
        <f>G76/$H$76</f>
        <v>0.00302945107664844</v>
      </c>
      <c r="H77" s="33"/>
      <c r="I77" s="33"/>
      <c r="J77" s="33"/>
      <c r="K77" s="33"/>
      <c r="L77" s="33"/>
      <c r="M77" s="33"/>
      <c r="N77" s="33"/>
      <c r="O77" s="33"/>
      <c r="P77" s="33"/>
      <c r="Q77" s="44"/>
      <c r="R77" s="33"/>
      <c r="S77" s="32"/>
      <c r="T77" s="11"/>
      <c r="U77" s="11"/>
      <c r="V77" s="11"/>
      <c r="W77" s="11"/>
      <c r="X77" s="11"/>
    </row>
    <row r="78" s="14" customFormat="1" spans="1:24">
      <c r="A78" s="33"/>
      <c r="B78" s="33"/>
      <c r="C78" s="34"/>
      <c r="D78" s="33"/>
      <c r="E78" s="33"/>
      <c r="F78" s="33"/>
      <c r="G78" s="16" t="s">
        <v>56</v>
      </c>
      <c r="H78" s="36"/>
      <c r="I78" s="37"/>
      <c r="J78" s="37"/>
      <c r="K78" s="37"/>
      <c r="L78" s="37"/>
      <c r="M78" s="37"/>
      <c r="N78" s="37"/>
      <c r="O78" s="37"/>
      <c r="P78" s="37"/>
      <c r="Q78" s="45"/>
      <c r="R78" s="37"/>
      <c r="S78" s="32"/>
      <c r="T78" s="11"/>
      <c r="U78" s="11"/>
      <c r="V78" s="11"/>
      <c r="W78" s="11"/>
      <c r="X78" s="11"/>
    </row>
    <row r="79" s="14" customFormat="1" spans="1:24">
      <c r="A79" s="33"/>
      <c r="B79" s="33"/>
      <c r="C79" s="34"/>
      <c r="D79" s="33"/>
      <c r="E79" s="33"/>
      <c r="F79" s="33"/>
      <c r="G79" s="33"/>
      <c r="H79" s="37"/>
      <c r="I79" s="37"/>
      <c r="J79" s="37"/>
      <c r="K79" s="37"/>
      <c r="L79" s="37"/>
      <c r="M79" s="37"/>
      <c r="N79" s="37"/>
      <c r="O79" s="37"/>
      <c r="P79" s="37"/>
      <c r="Q79" s="45"/>
      <c r="R79" s="37"/>
      <c r="S79" s="37"/>
      <c r="T79" s="11"/>
      <c r="U79" s="11"/>
      <c r="V79" s="11"/>
      <c r="W79" s="11"/>
      <c r="X79" s="11"/>
    </row>
    <row r="80" s="14" customFormat="1" spans="1:24">
      <c r="A80" s="33"/>
      <c r="B80" s="33"/>
      <c r="C80" s="34"/>
      <c r="D80" s="33">
        <v>1</v>
      </c>
      <c r="E80" s="33">
        <v>2</v>
      </c>
      <c r="F80" s="33">
        <v>3</v>
      </c>
      <c r="G80" s="16" t="s">
        <v>57</v>
      </c>
      <c r="H80" s="36">
        <v>17926000</v>
      </c>
      <c r="I80" s="37"/>
      <c r="J80" s="37"/>
      <c r="K80" s="37"/>
      <c r="L80" s="37"/>
      <c r="M80" s="37"/>
      <c r="N80" s="37"/>
      <c r="O80" s="37"/>
      <c r="P80" s="37"/>
      <c r="Q80" s="45">
        <f>SUBTOTAL(9,Q5:Q74)</f>
        <v>17926000</v>
      </c>
      <c r="R80" s="45" t="e">
        <f>SUBTOTAL(9,R5:R74)</f>
        <v>#REF!</v>
      </c>
      <c r="S80" s="45"/>
      <c r="T80" s="11"/>
      <c r="U80" s="11"/>
      <c r="V80" s="11"/>
      <c r="W80" s="11"/>
      <c r="X80" s="11"/>
    </row>
    <row r="81" s="14" customFormat="1" spans="1:24">
      <c r="A81" s="33"/>
      <c r="B81" s="33"/>
      <c r="C81" s="34"/>
      <c r="D81" s="33"/>
      <c r="E81" s="33"/>
      <c r="F81" s="33"/>
      <c r="G81" s="16" t="s">
        <v>58</v>
      </c>
      <c r="H81" s="36">
        <f>H80-H76</f>
        <v>0</v>
      </c>
      <c r="I81" s="37"/>
      <c r="J81" s="37"/>
      <c r="K81" s="37"/>
      <c r="L81" s="37"/>
      <c r="M81" s="37"/>
      <c r="N81" s="37"/>
      <c r="O81" s="37"/>
      <c r="P81" s="37"/>
      <c r="Q81" s="45"/>
      <c r="R81" s="37"/>
      <c r="S81" s="37"/>
      <c r="T81" s="11"/>
      <c r="U81" s="11"/>
      <c r="V81" s="11"/>
      <c r="W81" s="11"/>
      <c r="X81" s="11"/>
    </row>
    <row r="82" s="14" customFormat="1" spans="1:24">
      <c r="A82" s="33"/>
      <c r="B82" s="33"/>
      <c r="C82" s="34"/>
      <c r="D82" s="33"/>
      <c r="E82" s="33"/>
      <c r="F82" s="33"/>
      <c r="G82" s="33"/>
      <c r="H82" s="37"/>
      <c r="I82" s="37"/>
      <c r="J82" s="37"/>
      <c r="K82" s="37"/>
      <c r="L82" s="37"/>
      <c r="M82" s="37"/>
      <c r="N82" s="37"/>
      <c r="O82" s="37"/>
      <c r="P82" s="37"/>
      <c r="Q82" s="45"/>
      <c r="R82" s="37"/>
      <c r="S82" s="37"/>
      <c r="T82" s="11"/>
      <c r="U82" s="11"/>
      <c r="V82" s="11"/>
      <c r="W82" s="11"/>
      <c r="X82" s="11"/>
    </row>
    <row r="83" s="14" customFormat="1" spans="1:24">
      <c r="A83" s="33"/>
      <c r="B83" s="33"/>
      <c r="C83" s="34"/>
      <c r="D83" s="38">
        <f ca="1">RANDBETWEEN(30000000,40000000)*0.00000001*$H$80</f>
        <v>5597494.06486</v>
      </c>
      <c r="E83" s="38">
        <f ca="1">H80-D83-F83-G83</f>
        <v>10784592.43684</v>
      </c>
      <c r="F83" s="38">
        <f ca="1">RANDBETWEEN(8000000,12000000)*0.00000001*$H$80</f>
        <v>1520765.11672</v>
      </c>
      <c r="G83" s="38">
        <f ca="1">RANDBETWEEN(100000,400000)*0.00000001*$H$80</f>
        <v>23148.38158</v>
      </c>
      <c r="H83" s="39">
        <f>SUBTOTAL(9,H5:H74)</f>
        <v>133962997.58</v>
      </c>
      <c r="I83" s="39"/>
      <c r="J83" s="39"/>
      <c r="K83" s="39"/>
      <c r="L83" s="39"/>
      <c r="M83" s="39"/>
      <c r="N83" s="39"/>
      <c r="O83" s="39"/>
      <c r="P83" s="39"/>
      <c r="Q83" s="13"/>
      <c r="T83" s="11"/>
      <c r="U83" s="11"/>
      <c r="V83" s="11"/>
      <c r="W83" s="11"/>
      <c r="X83" s="11"/>
    </row>
    <row r="84" s="14" customFormat="1" spans="1:24">
      <c r="A84" s="33"/>
      <c r="B84" s="33"/>
      <c r="C84" s="34">
        <v>1</v>
      </c>
      <c r="D84" s="38">
        <f ca="1" t="shared" ref="D84:G84" si="39">RANDBETWEEN(95000000,105000000)*0.00000001*D$83/12</f>
        <v>447438.384200892</v>
      </c>
      <c r="E84" s="38">
        <f ca="1">RANDBETWEEN(95000000,105000000)*0.00000001*E$83/12</f>
        <v>866883.478445286</v>
      </c>
      <c r="F84" s="38">
        <f ca="1">RANDBETWEEN(95000000,105000000)*0.00000001*F$83/12</f>
        <v>121148.25526373</v>
      </c>
      <c r="G84" s="38">
        <f ca="1">RANDBETWEEN(95000000,105000000)*0.00000001*G$83/12</f>
        <v>1849.41932498418</v>
      </c>
      <c r="Q84" s="13"/>
      <c r="T84" s="11"/>
      <c r="U84" s="11"/>
      <c r="V84" s="11"/>
      <c r="W84" s="11"/>
      <c r="X84" s="11"/>
    </row>
    <row r="85" s="14" customFormat="1" spans="1:24">
      <c r="A85" s="33"/>
      <c r="B85" s="33"/>
      <c r="C85" s="34">
        <v>2</v>
      </c>
      <c r="D85" s="38">
        <f ca="1" t="shared" ref="D85:G85" si="40">RANDBETWEEN(95000000,105000000)*0.00000001*D$83/12</f>
        <v>465161.86959581</v>
      </c>
      <c r="E85" s="38">
        <f ca="1">RANDBETWEEN(95000000,105000000)*0.00000001*E$83/12</f>
        <v>918549.063663568</v>
      </c>
      <c r="F85" s="38">
        <f ca="1">RANDBETWEEN(95000000,105000000)*0.00000001*F$83/12</f>
        <v>121308.80750632</v>
      </c>
      <c r="G85" s="38">
        <f ca="1">RANDBETWEEN(95000000,105000000)*0.00000001*G$83/12</f>
        <v>1875.81050546876</v>
      </c>
      <c r="Q85" s="13"/>
      <c r="T85" s="11"/>
      <c r="U85" s="11"/>
      <c r="V85" s="11"/>
      <c r="W85" s="11"/>
      <c r="X85" s="11"/>
    </row>
    <row r="86" s="14" customFormat="1" spans="1:24">
      <c r="A86" s="33"/>
      <c r="B86" s="33"/>
      <c r="C86" s="34">
        <v>3</v>
      </c>
      <c r="D86" s="38">
        <f ca="1" t="shared" ref="D86:G86" si="41">RANDBETWEEN(95000000,105000000)*0.00000001*D$83/12</f>
        <v>451304.088235339</v>
      </c>
      <c r="E86" s="38">
        <f ca="1">RANDBETWEEN(95000000,105000000)*0.00000001*E$83/12</f>
        <v>885968.585232866</v>
      </c>
      <c r="F86" s="38">
        <f ca="1">RANDBETWEEN(95000000,105000000)*0.00000001*F$83/12</f>
        <v>127296.839162969</v>
      </c>
      <c r="G86" s="38">
        <f ca="1">RANDBETWEEN(95000000,105000000)*0.00000001*G$83/12</f>
        <v>1916.74810964791</v>
      </c>
      <c r="H86" s="40"/>
      <c r="I86" s="40"/>
      <c r="J86" s="40"/>
      <c r="K86" s="40"/>
      <c r="L86" s="40"/>
      <c r="M86" s="40"/>
      <c r="N86" s="40"/>
      <c r="O86" s="40"/>
      <c r="P86" s="40"/>
      <c r="Q86" s="13"/>
      <c r="T86" s="11"/>
      <c r="U86" s="11"/>
      <c r="V86" s="11"/>
      <c r="W86" s="11"/>
      <c r="X86" s="11"/>
    </row>
    <row r="87" s="14" customFormat="1" spans="1:24">
      <c r="A87" s="11"/>
      <c r="B87" s="11"/>
      <c r="C87" s="34">
        <v>4</v>
      </c>
      <c r="D87" s="38">
        <f ca="1" t="shared" ref="D87:G87" si="42">RANDBETWEEN(95000000,105000000)*0.00000001*D$83/12</f>
        <v>458054.656748403</v>
      </c>
      <c r="E87" s="38">
        <f ca="1">RANDBETWEEN(95000000,105000000)*0.00000001*E$83/12</f>
        <v>875028.505934568</v>
      </c>
      <c r="F87" s="38">
        <f ca="1">RANDBETWEEN(95000000,105000000)*0.00000001*F$83/12</f>
        <v>128746.660586994</v>
      </c>
      <c r="G87" s="38">
        <f ca="1">RANDBETWEEN(95000000,105000000)*0.00000001*G$83/12</f>
        <v>1962.07399110381</v>
      </c>
      <c r="H87" s="41"/>
      <c r="I87" s="41"/>
      <c r="J87" s="41"/>
      <c r="K87" s="41"/>
      <c r="L87" s="41"/>
      <c r="M87" s="41"/>
      <c r="N87" s="41"/>
      <c r="O87" s="41"/>
      <c r="P87" s="41"/>
      <c r="Q87" s="46"/>
      <c r="R87" s="41"/>
      <c r="S87" s="41"/>
      <c r="T87" s="11"/>
      <c r="U87" s="11"/>
      <c r="V87" s="11"/>
      <c r="W87" s="11"/>
      <c r="X87" s="11"/>
    </row>
    <row r="88" s="14" customFormat="1" spans="1:24">
      <c r="A88" s="11"/>
      <c r="B88" s="11"/>
      <c r="C88" s="34">
        <v>5</v>
      </c>
      <c r="D88" s="38">
        <f ca="1" t="shared" ref="D88:G88" si="43">RANDBETWEEN(95000000,105000000)*0.00000001*D$83/12</f>
        <v>446555.458809993</v>
      </c>
      <c r="E88" s="38">
        <f ca="1">RANDBETWEEN(95000000,105000000)*0.00000001*E$83/12</f>
        <v>902340.971587525</v>
      </c>
      <c r="F88" s="38">
        <f ca="1">RANDBETWEEN(95000000,105000000)*0.00000001*F$83/12</f>
        <v>129934.713978782</v>
      </c>
      <c r="G88" s="38">
        <f ca="1">RANDBETWEEN(95000000,105000000)*0.00000001*G$83/12</f>
        <v>1840.20381924495</v>
      </c>
      <c r="H88" s="11"/>
      <c r="I88" s="11"/>
      <c r="J88" s="11"/>
      <c r="K88" s="11"/>
      <c r="L88" s="11"/>
      <c r="M88" s="11"/>
      <c r="N88" s="11"/>
      <c r="O88" s="11"/>
      <c r="P88" s="11"/>
      <c r="Q88" s="13"/>
      <c r="R88" s="11"/>
      <c r="S88" s="11"/>
      <c r="T88" s="11"/>
      <c r="U88" s="11"/>
      <c r="V88" s="11"/>
      <c r="W88" s="11"/>
      <c r="X88" s="11"/>
    </row>
    <row r="89" s="14" customFormat="1" spans="1:24">
      <c r="A89" s="11"/>
      <c r="B89" s="11"/>
      <c r="C89" s="34">
        <v>6</v>
      </c>
      <c r="D89" s="38">
        <f ca="1" t="shared" ref="D89:G89" si="44">RANDBETWEEN(95000000,105000000)*0.00000001*D$83/12</f>
        <v>478351.207544212</v>
      </c>
      <c r="E89" s="38">
        <f ca="1">RANDBETWEEN(95000000,105000000)*0.00000001*E$83/12</f>
        <v>886956.813386495</v>
      </c>
      <c r="F89" s="38">
        <f ca="1">RANDBETWEEN(95000000,105000000)*0.00000001*F$83/12</f>
        <v>128739.481308338</v>
      </c>
      <c r="G89" s="38">
        <f ca="1">RANDBETWEEN(95000000,105000000)*0.00000001*G$83/12</f>
        <v>1902.13862590387</v>
      </c>
      <c r="H89" s="11"/>
      <c r="I89" s="11"/>
      <c r="J89" s="11"/>
      <c r="K89" s="11"/>
      <c r="L89" s="11"/>
      <c r="M89" s="11"/>
      <c r="N89" s="11"/>
      <c r="O89" s="11"/>
      <c r="P89" s="11"/>
      <c r="Q89" s="13"/>
      <c r="R89" s="11"/>
      <c r="S89" s="11"/>
      <c r="T89" s="11"/>
      <c r="U89" s="11"/>
      <c r="V89" s="11"/>
      <c r="W89" s="11"/>
      <c r="X89" s="11"/>
    </row>
    <row r="90" s="14" customFormat="1" spans="1:24">
      <c r="A90" s="11"/>
      <c r="B90" s="11"/>
      <c r="C90" s="34">
        <v>7</v>
      </c>
      <c r="D90" s="38">
        <f ca="1" t="shared" ref="D90:G90" si="45">RANDBETWEEN(95000000,105000000)*0.00000001*D$83/12</f>
        <v>474315.512279594</v>
      </c>
      <c r="E90" s="38">
        <f ca="1">RANDBETWEEN(95000000,105000000)*0.00000001*E$83/12</f>
        <v>858435.502767292</v>
      </c>
      <c r="F90" s="38">
        <f ca="1">RANDBETWEEN(95000000,105000000)*0.00000001*F$83/12</f>
        <v>132654.787416458</v>
      </c>
      <c r="G90" s="38">
        <f ca="1">RANDBETWEEN(95000000,105000000)*0.00000001*G$83/12</f>
        <v>1916.45217687972</v>
      </c>
      <c r="H90" s="11"/>
      <c r="I90" s="11"/>
      <c r="J90" s="11"/>
      <c r="K90" s="11"/>
      <c r="L90" s="11"/>
      <c r="M90" s="11"/>
      <c r="N90" s="11"/>
      <c r="O90" s="11"/>
      <c r="P90" s="11"/>
      <c r="Q90" s="13"/>
      <c r="R90" s="11"/>
      <c r="S90" s="11"/>
      <c r="T90" s="11"/>
      <c r="U90" s="11"/>
      <c r="V90" s="11"/>
      <c r="W90" s="11"/>
      <c r="X90" s="11"/>
    </row>
    <row r="91" s="14" customFormat="1" spans="1:24">
      <c r="A91" s="11"/>
      <c r="B91" s="11"/>
      <c r="C91" s="34">
        <v>8</v>
      </c>
      <c r="D91" s="38">
        <f ca="1" t="shared" ref="D91:G91" si="46">RANDBETWEEN(95000000,105000000)*0.00000001*D$83/12</f>
        <v>477073.560865595</v>
      </c>
      <c r="E91" s="38">
        <f ca="1">RANDBETWEEN(95000000,105000000)*0.00000001*E$83/12</f>
        <v>896859.900199029</v>
      </c>
      <c r="F91" s="38">
        <f ca="1">RANDBETWEEN(95000000,105000000)*0.00000001*F$83/12</f>
        <v>132456.306024554</v>
      </c>
      <c r="G91" s="38">
        <f ca="1">RANDBETWEEN(95000000,105000000)*0.00000001*G$83/12</f>
        <v>1888.48030915895</v>
      </c>
      <c r="H91" s="11"/>
      <c r="I91" s="11"/>
      <c r="J91" s="11"/>
      <c r="K91" s="11"/>
      <c r="L91" s="11"/>
      <c r="M91" s="11"/>
      <c r="N91" s="11"/>
      <c r="O91" s="11"/>
      <c r="P91" s="11"/>
      <c r="Q91" s="13"/>
      <c r="R91" s="11"/>
      <c r="S91" s="11"/>
      <c r="T91" s="11"/>
      <c r="U91" s="11"/>
      <c r="V91" s="11"/>
      <c r="W91" s="11"/>
      <c r="X91" s="11"/>
    </row>
    <row r="92" s="14" customFormat="1" spans="1:24">
      <c r="A92" s="11"/>
      <c r="B92" s="11"/>
      <c r="C92" s="34">
        <v>9</v>
      </c>
      <c r="D92" s="38">
        <f ca="1" t="shared" ref="D92:G92" si="47">RANDBETWEEN(95000000,105000000)*0.00000001*D$83/12</f>
        <v>480744.635366827</v>
      </c>
      <c r="E92" s="38">
        <f ca="1">RANDBETWEEN(95000000,105000000)*0.00000001*E$83/12</f>
        <v>932732.654073048</v>
      </c>
      <c r="F92" s="38">
        <f ca="1">RANDBETWEEN(95000000,105000000)*0.00000001*F$83/12</f>
        <v>122696.534823325</v>
      </c>
      <c r="G92" s="38">
        <f ca="1">RANDBETWEEN(95000000,105000000)*0.00000001*G$83/12</f>
        <v>1900.95595579862</v>
      </c>
      <c r="H92" s="42"/>
      <c r="I92" s="42"/>
      <c r="J92" s="42"/>
      <c r="K92" s="42"/>
      <c r="L92" s="42"/>
      <c r="M92" s="42"/>
      <c r="N92" s="42"/>
      <c r="O92" s="42"/>
      <c r="P92" s="42"/>
      <c r="Q92" s="13"/>
      <c r="R92" s="11"/>
      <c r="S92" s="11"/>
      <c r="T92" s="11"/>
      <c r="U92" s="11"/>
      <c r="V92" s="11"/>
      <c r="W92" s="11"/>
      <c r="X92" s="11"/>
    </row>
    <row r="93" s="14" customFormat="1" spans="1:24">
      <c r="A93" s="11"/>
      <c r="B93" s="11"/>
      <c r="C93" s="34">
        <v>10</v>
      </c>
      <c r="D93" s="38">
        <f ca="1" t="shared" ref="D93:G93" si="48">RANDBETWEEN(95000000,105000000)*0.00000001*D$83/12</f>
        <v>465782.183888078</v>
      </c>
      <c r="E93" s="38">
        <f ca="1">RANDBETWEEN(95000000,105000000)*0.00000001*E$83/12</f>
        <v>912056.882811157</v>
      </c>
      <c r="F93" s="38">
        <f ca="1">RANDBETWEEN(95000000,105000000)*0.00000001*F$83/12</f>
        <v>120828.366123341</v>
      </c>
      <c r="G93" s="38">
        <f ca="1">RANDBETWEEN(95000000,105000000)*0.00000001*G$83/12</f>
        <v>1928.38709661601</v>
      </c>
      <c r="H93" s="11"/>
      <c r="I93" s="11"/>
      <c r="J93" s="11"/>
      <c r="K93" s="11"/>
      <c r="L93" s="11"/>
      <c r="M93" s="11"/>
      <c r="N93" s="11"/>
      <c r="O93" s="11"/>
      <c r="P93" s="11"/>
      <c r="Q93" s="13"/>
      <c r="R93" s="11"/>
      <c r="S93" s="11"/>
      <c r="T93" s="11"/>
      <c r="U93" s="11"/>
      <c r="V93" s="11"/>
      <c r="W93" s="11"/>
      <c r="X93" s="11"/>
    </row>
    <row r="94" s="14" customFormat="1" spans="1:24">
      <c r="A94" s="11"/>
      <c r="B94" s="11"/>
      <c r="C94" s="34">
        <v>11</v>
      </c>
      <c r="D94" s="38">
        <f ca="1" t="shared" ref="D94:G94" si="49">RANDBETWEEN(95000000,105000000)*0.00000001*D$83/12</f>
        <v>459701.71471241</v>
      </c>
      <c r="E94" s="38">
        <f ca="1">RANDBETWEEN(95000000,105000000)*0.00000001*E$83/12</f>
        <v>858128.384536172</v>
      </c>
      <c r="F94" s="38">
        <f ca="1">RANDBETWEEN(95000000,105000000)*0.00000001*F$83/12</f>
        <v>128473.282780395</v>
      </c>
      <c r="G94" s="38">
        <f ca="1">RANDBETWEEN(95000000,105000000)*0.00000001*G$83/12</f>
        <v>1839.93680266343</v>
      </c>
      <c r="H94" s="11"/>
      <c r="I94" s="11"/>
      <c r="J94" s="11"/>
      <c r="K94" s="11"/>
      <c r="L94" s="11"/>
      <c r="M94" s="11"/>
      <c r="N94" s="11"/>
      <c r="O94" s="11"/>
      <c r="P94" s="11"/>
      <c r="Q94" s="13"/>
      <c r="R94" s="11"/>
      <c r="S94" s="11"/>
      <c r="T94" s="11"/>
      <c r="U94" s="11"/>
      <c r="V94" s="11"/>
      <c r="W94" s="11"/>
      <c r="X94" s="11"/>
    </row>
    <row r="95" s="14" customFormat="1" spans="1:24">
      <c r="A95" s="11"/>
      <c r="B95" s="11"/>
      <c r="C95" s="34">
        <v>12</v>
      </c>
      <c r="D95" s="38">
        <f ca="1" t="shared" ref="D95:G95" si="50">D83-D84-D85-D86-D87-D88-D89-D90-D91-D92-D93-D94</f>
        <v>493010.792612848</v>
      </c>
      <c r="E95" s="38">
        <f ca="1">E83-E84-E85-E86-E87-E88-E89-E90-E91-E92-E93-E94</f>
        <v>990651.694202992</v>
      </c>
      <c r="F95" s="38">
        <f ca="1">F83-F84-F85-F86-F87-F88-F89-F90-F91-F92-F93-F94</f>
        <v>126481.081744796</v>
      </c>
      <c r="G95" s="38">
        <f ca="1">G83-G84-G85-G86-G87-G88-G89-G90-G91-G92-G93-G94</f>
        <v>2327.7748625298</v>
      </c>
      <c r="H95" s="11"/>
      <c r="I95" s="11"/>
      <c r="J95" s="11"/>
      <c r="K95" s="11"/>
      <c r="L95" s="11"/>
      <c r="M95" s="11"/>
      <c r="N95" s="11"/>
      <c r="O95" s="11"/>
      <c r="P95" s="11"/>
      <c r="Q95" s="13"/>
      <c r="R95" s="11"/>
      <c r="S95" s="11"/>
      <c r="T95" s="11"/>
      <c r="U95" s="11"/>
      <c r="V95" s="11"/>
      <c r="W95" s="11"/>
      <c r="X95" s="11"/>
    </row>
    <row r="96" s="14" customFormat="1" spans="1:24">
      <c r="A96" s="11"/>
      <c r="B96" s="11"/>
      <c r="C96" s="12"/>
      <c r="D96" s="11"/>
      <c r="E96" s="11"/>
      <c r="F96" s="11"/>
      <c r="G96" s="11"/>
      <c r="H96" s="11"/>
      <c r="I96" s="11"/>
      <c r="J96" s="11"/>
      <c r="K96" s="11"/>
      <c r="L96" s="11"/>
      <c r="M96" s="11"/>
      <c r="N96" s="11"/>
      <c r="O96" s="11"/>
      <c r="P96" s="11"/>
      <c r="Q96" s="13"/>
      <c r="R96" s="11"/>
      <c r="S96" s="11"/>
      <c r="T96" s="11"/>
      <c r="U96" s="11"/>
      <c r="V96" s="11"/>
      <c r="W96" s="11"/>
      <c r="X96" s="11"/>
    </row>
    <row r="97" s="14" customFormat="1" spans="1:24">
      <c r="A97" s="11"/>
      <c r="B97" s="11"/>
      <c r="C97" s="12"/>
      <c r="D97" s="11"/>
      <c r="E97" s="11"/>
      <c r="F97" s="11"/>
      <c r="G97" s="11"/>
      <c r="H97" s="11"/>
      <c r="I97" s="11"/>
      <c r="J97" s="11"/>
      <c r="K97" s="11"/>
      <c r="L97" s="11"/>
      <c r="M97" s="11"/>
      <c r="N97" s="11"/>
      <c r="O97" s="11"/>
      <c r="P97" s="11"/>
      <c r="Q97" s="13"/>
      <c r="R97" s="11"/>
      <c r="S97" s="11"/>
      <c r="T97" s="11"/>
      <c r="U97" s="11"/>
      <c r="V97" s="11"/>
      <c r="W97" s="11"/>
      <c r="X97" s="11"/>
    </row>
    <row r="98" s="14" customFormat="1" spans="1:24">
      <c r="A98" s="11"/>
      <c r="B98" s="11"/>
      <c r="C98" s="12"/>
      <c r="D98" s="43">
        <v>5431674.41</v>
      </c>
      <c r="E98" s="43">
        <v>10332960.06</v>
      </c>
      <c r="F98" s="43">
        <v>1494308.5</v>
      </c>
      <c r="G98" s="43">
        <v>37057.03</v>
      </c>
      <c r="H98" s="11"/>
      <c r="I98" s="11"/>
      <c r="J98" s="11"/>
      <c r="K98" s="11"/>
      <c r="L98" s="11"/>
      <c r="M98" s="11"/>
      <c r="N98" s="11"/>
      <c r="O98" s="11"/>
      <c r="P98" s="11"/>
      <c r="Q98" s="13"/>
      <c r="R98" s="11"/>
      <c r="S98" s="11"/>
      <c r="T98" s="11"/>
      <c r="U98" s="11"/>
      <c r="V98" s="11"/>
      <c r="W98" s="11"/>
      <c r="X98" s="11"/>
    </row>
    <row r="99" s="14" customFormat="1" spans="1:24">
      <c r="A99" s="11"/>
      <c r="B99" s="11"/>
      <c r="C99" s="12"/>
      <c r="D99" s="43">
        <v>457393.69</v>
      </c>
      <c r="E99" s="43">
        <v>862421.7</v>
      </c>
      <c r="F99" s="43">
        <v>129128.92</v>
      </c>
      <c r="G99" s="38">
        <v>6345.73</v>
      </c>
      <c r="H99" s="11"/>
      <c r="I99" s="11"/>
      <c r="J99" s="11"/>
      <c r="K99" s="11"/>
      <c r="L99" s="11"/>
      <c r="M99" s="11"/>
      <c r="N99" s="11"/>
      <c r="O99" s="11"/>
      <c r="P99" s="11"/>
      <c r="Q99" s="13"/>
      <c r="R99" s="11"/>
      <c r="S99" s="11"/>
      <c r="T99" s="11"/>
      <c r="U99" s="11"/>
      <c r="V99" s="11"/>
      <c r="W99" s="11"/>
      <c r="X99" s="11"/>
    </row>
    <row r="100" s="14" customFormat="1" spans="1:24">
      <c r="A100" s="11"/>
      <c r="B100" s="11"/>
      <c r="C100" s="12"/>
      <c r="D100" s="43">
        <v>444805.13</v>
      </c>
      <c r="E100" s="43">
        <v>850237.3</v>
      </c>
      <c r="F100" s="43">
        <v>120609.58</v>
      </c>
      <c r="G100" s="38">
        <v>6394.63</v>
      </c>
      <c r="H100" s="11"/>
      <c r="I100" s="11"/>
      <c r="J100" s="11"/>
      <c r="K100" s="11"/>
      <c r="L100" s="11"/>
      <c r="M100" s="11"/>
      <c r="N100" s="11"/>
      <c r="O100" s="11"/>
      <c r="P100" s="11"/>
      <c r="Q100" s="13"/>
      <c r="R100" s="11"/>
      <c r="S100" s="11"/>
      <c r="T100" s="11"/>
      <c r="U100" s="11"/>
      <c r="V100" s="11"/>
      <c r="W100" s="11"/>
      <c r="X100" s="11"/>
    </row>
    <row r="101" s="14" customFormat="1" spans="1:24">
      <c r="A101" s="11"/>
      <c r="B101" s="11"/>
      <c r="C101" s="12"/>
      <c r="D101" s="43">
        <v>457733.34</v>
      </c>
      <c r="E101" s="43">
        <v>861872.38</v>
      </c>
      <c r="F101" s="43">
        <v>128787.47</v>
      </c>
      <c r="G101" s="38">
        <v>6141.61</v>
      </c>
      <c r="H101" s="11"/>
      <c r="I101" s="11"/>
      <c r="J101" s="11"/>
      <c r="K101" s="11"/>
      <c r="L101" s="11"/>
      <c r="M101" s="11"/>
      <c r="N101" s="11"/>
      <c r="O101" s="11"/>
      <c r="P101" s="11"/>
      <c r="Q101" s="13"/>
      <c r="R101" s="11"/>
      <c r="S101" s="11"/>
      <c r="T101" s="11"/>
      <c r="U101" s="11"/>
      <c r="V101" s="11"/>
      <c r="W101" s="11"/>
      <c r="X101" s="11"/>
    </row>
    <row r="102" s="14" customFormat="1" spans="1:24">
      <c r="A102" s="11"/>
      <c r="B102" s="11"/>
      <c r="C102" s="12"/>
      <c r="D102" s="43">
        <v>462128.19</v>
      </c>
      <c r="E102" s="43">
        <v>866225.57</v>
      </c>
      <c r="F102" s="43">
        <v>118634.51</v>
      </c>
      <c r="G102" s="38">
        <v>5973.8</v>
      </c>
      <c r="H102" s="11"/>
      <c r="I102" s="11"/>
      <c r="J102" s="11"/>
      <c r="K102" s="11"/>
      <c r="L102" s="11"/>
      <c r="M102" s="11"/>
      <c r="N102" s="11"/>
      <c r="O102" s="11"/>
      <c r="P102" s="11"/>
      <c r="Q102" s="13"/>
      <c r="R102" s="11"/>
      <c r="S102" s="11"/>
      <c r="T102" s="11"/>
      <c r="U102" s="11"/>
      <c r="V102" s="11"/>
      <c r="W102" s="11"/>
      <c r="X102" s="11"/>
    </row>
    <row r="103" s="14" customFormat="1" spans="1:24">
      <c r="A103" s="11"/>
      <c r="B103" s="11"/>
      <c r="C103" s="12"/>
      <c r="D103" s="43">
        <v>451363.62</v>
      </c>
      <c r="E103" s="43">
        <v>836138.19</v>
      </c>
      <c r="F103" s="43">
        <v>129456</v>
      </c>
      <c r="G103" s="38">
        <v>5904.01</v>
      </c>
      <c r="H103" s="11"/>
      <c r="I103" s="11"/>
      <c r="J103" s="11"/>
      <c r="K103" s="11"/>
      <c r="L103" s="11"/>
      <c r="M103" s="11"/>
      <c r="N103" s="11"/>
      <c r="O103" s="11"/>
      <c r="P103" s="11"/>
      <c r="Q103" s="13"/>
      <c r="R103" s="11"/>
      <c r="S103" s="11"/>
      <c r="T103" s="11"/>
      <c r="U103" s="11"/>
      <c r="V103" s="11"/>
      <c r="W103" s="11"/>
      <c r="X103" s="11"/>
    </row>
    <row r="104" s="14" customFormat="1" spans="1:24">
      <c r="A104" s="11"/>
      <c r="B104" s="11"/>
      <c r="C104" s="12"/>
      <c r="D104" s="43">
        <v>438150.3</v>
      </c>
      <c r="E104" s="43">
        <v>852222.84</v>
      </c>
      <c r="F104" s="43">
        <v>119834.93</v>
      </c>
      <c r="G104" s="43">
        <v>6297.25</v>
      </c>
      <c r="H104" s="11"/>
      <c r="I104" s="11"/>
      <c r="J104" s="11"/>
      <c r="K104" s="11"/>
      <c r="L104" s="11"/>
      <c r="M104" s="11"/>
      <c r="N104" s="11"/>
      <c r="O104" s="11"/>
      <c r="P104" s="11"/>
      <c r="Q104" s="13"/>
      <c r="R104" s="11"/>
      <c r="S104" s="11"/>
      <c r="T104" s="11"/>
      <c r="U104" s="11"/>
      <c r="V104" s="11"/>
      <c r="W104" s="11"/>
      <c r="X104" s="11"/>
    </row>
    <row r="105" s="14" customFormat="1" spans="1:24">
      <c r="A105" s="11"/>
      <c r="B105" s="11"/>
      <c r="C105" s="12"/>
      <c r="D105" s="43">
        <v>458867.17</v>
      </c>
      <c r="E105" s="43">
        <v>851327.14</v>
      </c>
      <c r="F105" s="43">
        <v>122154.32</v>
      </c>
      <c r="G105" s="43"/>
      <c r="H105" s="11"/>
      <c r="I105" s="11"/>
      <c r="J105" s="11"/>
      <c r="K105" s="11"/>
      <c r="L105" s="11"/>
      <c r="M105" s="11"/>
      <c r="N105" s="11"/>
      <c r="O105" s="11"/>
      <c r="P105" s="11"/>
      <c r="Q105" s="13"/>
      <c r="R105" s="11"/>
      <c r="S105" s="11"/>
      <c r="T105" s="11"/>
      <c r="U105" s="11"/>
      <c r="V105" s="11"/>
      <c r="W105" s="11"/>
      <c r="X105" s="11"/>
    </row>
    <row r="106" s="14" customFormat="1" spans="1:24">
      <c r="A106" s="11"/>
      <c r="B106" s="11"/>
      <c r="C106" s="12"/>
      <c r="D106" s="43">
        <v>445055.46</v>
      </c>
      <c r="E106" s="43">
        <v>882586.37</v>
      </c>
      <c r="F106" s="43">
        <v>129405.93</v>
      </c>
      <c r="G106" s="43"/>
      <c r="H106" s="11"/>
      <c r="I106" s="11"/>
      <c r="J106" s="11"/>
      <c r="K106" s="11"/>
      <c r="L106" s="11"/>
      <c r="M106" s="11"/>
      <c r="N106" s="11"/>
      <c r="O106" s="11"/>
      <c r="P106" s="11"/>
      <c r="Q106" s="13"/>
      <c r="R106" s="11"/>
      <c r="S106" s="11"/>
      <c r="T106" s="11"/>
      <c r="U106" s="11"/>
      <c r="V106" s="11"/>
      <c r="W106" s="11"/>
      <c r="X106" s="11"/>
    </row>
    <row r="107" s="14" customFormat="1" spans="1:24">
      <c r="A107" s="11"/>
      <c r="B107" s="11"/>
      <c r="C107" s="12"/>
      <c r="D107" s="43">
        <v>453312.49</v>
      </c>
      <c r="E107" s="43">
        <v>878933.68</v>
      </c>
      <c r="F107" s="43">
        <v>121026.6</v>
      </c>
      <c r="G107" s="43"/>
      <c r="H107" s="11"/>
      <c r="I107" s="11"/>
      <c r="J107" s="11"/>
      <c r="K107" s="11"/>
      <c r="L107" s="11"/>
      <c r="M107" s="11"/>
      <c r="N107" s="11"/>
      <c r="O107" s="11"/>
      <c r="P107" s="11"/>
      <c r="Q107" s="13"/>
      <c r="R107" s="11"/>
      <c r="S107" s="11"/>
      <c r="T107" s="11"/>
      <c r="U107" s="11"/>
      <c r="V107" s="11"/>
      <c r="W107" s="11"/>
      <c r="X107" s="11"/>
    </row>
    <row r="108" s="14" customFormat="1" spans="1:24">
      <c r="A108" s="11"/>
      <c r="B108" s="11"/>
      <c r="C108" s="12"/>
      <c r="D108" s="43">
        <v>445836.92</v>
      </c>
      <c r="E108" s="43">
        <v>842349.19</v>
      </c>
      <c r="F108" s="43">
        <v>123661.73</v>
      </c>
      <c r="G108" s="43"/>
      <c r="H108" s="11"/>
      <c r="I108" s="11"/>
      <c r="J108" s="11"/>
      <c r="K108" s="11"/>
      <c r="L108" s="11"/>
      <c r="M108" s="11"/>
      <c r="N108" s="11"/>
      <c r="O108" s="11"/>
      <c r="P108" s="11"/>
      <c r="Q108" s="13"/>
      <c r="R108" s="11"/>
      <c r="S108" s="11"/>
      <c r="T108" s="11"/>
      <c r="U108" s="11"/>
      <c r="V108" s="11"/>
      <c r="W108" s="11"/>
      <c r="X108" s="11"/>
    </row>
    <row r="109" s="14" customFormat="1" spans="1:24">
      <c r="A109" s="11"/>
      <c r="B109" s="11"/>
      <c r="C109" s="12"/>
      <c r="D109" s="43">
        <v>459889.67</v>
      </c>
      <c r="E109" s="43">
        <v>857853.17</v>
      </c>
      <c r="F109" s="43">
        <v>123420.66</v>
      </c>
      <c r="G109" s="43"/>
      <c r="H109" s="11"/>
      <c r="I109" s="11"/>
      <c r="J109" s="11"/>
      <c r="K109" s="11"/>
      <c r="L109" s="11"/>
      <c r="M109" s="11"/>
      <c r="N109" s="11"/>
      <c r="O109" s="11"/>
      <c r="P109" s="11"/>
      <c r="Q109" s="13"/>
      <c r="R109" s="11"/>
      <c r="S109" s="11"/>
      <c r="T109" s="11"/>
      <c r="U109" s="11"/>
      <c r="V109" s="11"/>
      <c r="W109" s="11"/>
      <c r="X109" s="11"/>
    </row>
    <row r="110" s="14" customFormat="1" spans="1:24">
      <c r="A110" s="11"/>
      <c r="B110" s="11"/>
      <c r="C110" s="12"/>
      <c r="D110" s="43">
        <v>457138.43</v>
      </c>
      <c r="E110" s="43">
        <v>890792.53</v>
      </c>
      <c r="F110" s="43">
        <v>128187.85</v>
      </c>
      <c r="G110" s="43"/>
      <c r="H110" s="11"/>
      <c r="I110" s="11"/>
      <c r="J110" s="11"/>
      <c r="K110" s="11"/>
      <c r="L110" s="11"/>
      <c r="M110" s="11"/>
      <c r="N110" s="11"/>
      <c r="O110" s="11"/>
      <c r="P110" s="11"/>
      <c r="Q110" s="13"/>
      <c r="R110" s="11"/>
      <c r="S110" s="11"/>
      <c r="T110" s="11"/>
      <c r="U110" s="11"/>
      <c r="V110" s="11"/>
      <c r="W110" s="11"/>
      <c r="X110" s="11"/>
    </row>
    <row r="111" s="14" customFormat="1" spans="1:24">
      <c r="A111" s="11"/>
      <c r="B111" s="11"/>
      <c r="C111" s="12"/>
      <c r="D111" s="11"/>
      <c r="E111" s="11"/>
      <c r="F111" s="11"/>
      <c r="G111" s="11"/>
      <c r="H111" s="11"/>
      <c r="I111" s="11"/>
      <c r="J111" s="11"/>
      <c r="K111" s="11"/>
      <c r="L111" s="11"/>
      <c r="M111" s="11"/>
      <c r="N111" s="11"/>
      <c r="O111" s="11"/>
      <c r="P111" s="11"/>
      <c r="Q111" s="13"/>
      <c r="R111" s="11"/>
      <c r="S111" s="11"/>
      <c r="T111" s="11"/>
      <c r="U111" s="11"/>
      <c r="V111" s="11"/>
      <c r="W111" s="11"/>
      <c r="X111" s="11"/>
    </row>
    <row r="112" s="14" customFormat="1" spans="1:24">
      <c r="A112" s="11"/>
      <c r="B112" s="11"/>
      <c r="C112" s="12"/>
      <c r="D112" s="11"/>
      <c r="E112" s="11"/>
      <c r="F112" s="11"/>
      <c r="G112" s="11"/>
      <c r="H112" s="11"/>
      <c r="I112" s="11"/>
      <c r="J112" s="11"/>
      <c r="K112" s="11"/>
      <c r="L112" s="11"/>
      <c r="M112" s="11"/>
      <c r="N112" s="11"/>
      <c r="O112" s="11"/>
      <c r="P112" s="11"/>
      <c r="Q112" s="13"/>
      <c r="R112" s="11"/>
      <c r="S112" s="11"/>
      <c r="T112" s="11"/>
      <c r="U112" s="11"/>
      <c r="V112" s="11"/>
      <c r="W112" s="11"/>
      <c r="X112" s="11"/>
    </row>
    <row r="113" s="14" customFormat="1" spans="1:24">
      <c r="A113" s="11"/>
      <c r="B113" s="11"/>
      <c r="C113" s="12"/>
      <c r="D113" s="11"/>
      <c r="E113" s="11"/>
      <c r="F113" s="11"/>
      <c r="G113" s="11"/>
      <c r="H113" s="11"/>
      <c r="I113" s="11"/>
      <c r="J113" s="11"/>
      <c r="K113" s="11"/>
      <c r="L113" s="11"/>
      <c r="M113" s="11"/>
      <c r="N113" s="11"/>
      <c r="O113" s="11"/>
      <c r="P113" s="11"/>
      <c r="Q113" s="13"/>
      <c r="R113" s="11"/>
      <c r="S113" s="11"/>
      <c r="T113" s="11"/>
      <c r="U113" s="11"/>
      <c r="V113" s="11"/>
      <c r="W113" s="11"/>
      <c r="X113" s="11"/>
    </row>
    <row r="114" s="14" customFormat="1" spans="1:24">
      <c r="A114" s="11"/>
      <c r="B114" s="11"/>
      <c r="C114" s="12"/>
      <c r="D114" s="11"/>
      <c r="E114" s="11"/>
      <c r="F114" s="11"/>
      <c r="G114" s="11"/>
      <c r="H114" s="11"/>
      <c r="I114" s="11"/>
      <c r="J114" s="11"/>
      <c r="K114" s="11"/>
      <c r="L114" s="11"/>
      <c r="M114" s="11"/>
      <c r="N114" s="11"/>
      <c r="O114" s="11"/>
      <c r="P114" s="11"/>
      <c r="Q114" s="13"/>
      <c r="R114" s="11"/>
      <c r="S114" s="11"/>
      <c r="T114" s="11"/>
      <c r="U114" s="11"/>
      <c r="V114" s="11"/>
      <c r="W114" s="11"/>
      <c r="X114" s="11"/>
    </row>
    <row r="115" s="14" customFormat="1" spans="1:24">
      <c r="A115" s="11"/>
      <c r="B115" s="11"/>
      <c r="C115" s="12"/>
      <c r="D115" s="11"/>
      <c r="E115" s="11"/>
      <c r="F115" s="11"/>
      <c r="G115" s="11"/>
      <c r="H115" s="11"/>
      <c r="I115" s="11"/>
      <c r="J115" s="11"/>
      <c r="K115" s="11"/>
      <c r="L115" s="11"/>
      <c r="M115" s="11"/>
      <c r="N115" s="11"/>
      <c r="O115" s="11"/>
      <c r="P115" s="11"/>
      <c r="Q115" s="13"/>
      <c r="R115" s="11"/>
      <c r="S115" s="11"/>
      <c r="T115" s="11"/>
      <c r="U115" s="11"/>
      <c r="V115" s="11"/>
      <c r="W115" s="11"/>
      <c r="X115" s="11"/>
    </row>
    <row r="116" s="14" customFormat="1" spans="1:24">
      <c r="A116" s="11"/>
      <c r="B116" s="11"/>
      <c r="C116" s="12"/>
      <c r="D116" s="11"/>
      <c r="E116" s="11"/>
      <c r="F116" s="11"/>
      <c r="G116" s="38"/>
      <c r="H116" s="11"/>
      <c r="I116" s="11"/>
      <c r="J116" s="11"/>
      <c r="K116" s="11"/>
      <c r="L116" s="11"/>
      <c r="M116" s="11"/>
      <c r="N116" s="11"/>
      <c r="O116" s="11"/>
      <c r="P116" s="11"/>
      <c r="Q116" s="13"/>
      <c r="R116" s="11"/>
      <c r="S116" s="11"/>
      <c r="T116" s="11"/>
      <c r="U116" s="11"/>
      <c r="V116" s="11"/>
      <c r="W116" s="11"/>
      <c r="X116" s="11"/>
    </row>
    <row r="117" s="14" customFormat="1" spans="1:24">
      <c r="A117" s="11"/>
      <c r="B117" s="11"/>
      <c r="C117" s="12"/>
      <c r="D117" s="11"/>
      <c r="E117" s="11"/>
      <c r="F117" s="11"/>
      <c r="G117" s="38"/>
      <c r="H117" s="11"/>
      <c r="I117" s="11"/>
      <c r="J117" s="11"/>
      <c r="K117" s="11"/>
      <c r="L117" s="11"/>
      <c r="M117" s="11"/>
      <c r="N117" s="11"/>
      <c r="O117" s="11"/>
      <c r="P117" s="11"/>
      <c r="Q117" s="13"/>
      <c r="R117" s="11"/>
      <c r="S117" s="11"/>
      <c r="T117" s="11"/>
      <c r="U117" s="11"/>
      <c r="V117" s="11"/>
      <c r="W117" s="11"/>
      <c r="X117" s="11"/>
    </row>
    <row r="118" s="14" customFormat="1" spans="1:24">
      <c r="A118" s="11"/>
      <c r="B118" s="11"/>
      <c r="C118" s="12"/>
      <c r="D118" s="11"/>
      <c r="E118" s="11"/>
      <c r="F118" s="11"/>
      <c r="G118" s="38"/>
      <c r="H118" s="11"/>
      <c r="I118" s="11"/>
      <c r="J118" s="11"/>
      <c r="K118" s="11"/>
      <c r="L118" s="11"/>
      <c r="M118" s="11"/>
      <c r="N118" s="11"/>
      <c r="O118" s="11"/>
      <c r="P118" s="11"/>
      <c r="Q118" s="13"/>
      <c r="R118" s="11"/>
      <c r="S118" s="11"/>
      <c r="T118" s="11"/>
      <c r="U118" s="11"/>
      <c r="V118" s="11"/>
      <c r="W118" s="11"/>
      <c r="X118" s="11"/>
    </row>
    <row r="119" s="14" customFormat="1" spans="1:24">
      <c r="A119" s="11"/>
      <c r="B119" s="11"/>
      <c r="C119" s="12"/>
      <c r="D119" s="11"/>
      <c r="E119" s="11"/>
      <c r="F119" s="11"/>
      <c r="G119" s="38"/>
      <c r="H119" s="11"/>
      <c r="I119" s="11"/>
      <c r="J119" s="11"/>
      <c r="K119" s="11"/>
      <c r="L119" s="11"/>
      <c r="M119" s="11"/>
      <c r="N119" s="11"/>
      <c r="O119" s="11"/>
      <c r="P119" s="11"/>
      <c r="Q119" s="13"/>
      <c r="R119" s="11"/>
      <c r="S119" s="11"/>
      <c r="T119" s="11"/>
      <c r="U119" s="11"/>
      <c r="V119" s="11"/>
      <c r="W119" s="11"/>
      <c r="X119" s="11"/>
    </row>
    <row r="120" s="14" customFormat="1" spans="1:24">
      <c r="A120" s="11"/>
      <c r="B120" s="11"/>
      <c r="C120" s="12"/>
      <c r="D120" s="11"/>
      <c r="E120" s="11"/>
      <c r="F120" s="11"/>
      <c r="G120" s="38"/>
      <c r="H120" s="11"/>
      <c r="I120" s="11"/>
      <c r="J120" s="11"/>
      <c r="K120" s="11"/>
      <c r="L120" s="11"/>
      <c r="M120" s="11"/>
      <c r="N120" s="11"/>
      <c r="O120" s="11"/>
      <c r="P120" s="11"/>
      <c r="Q120" s="13"/>
      <c r="R120" s="11"/>
      <c r="S120" s="11"/>
      <c r="T120" s="11"/>
      <c r="U120" s="11"/>
      <c r="V120" s="11"/>
      <c r="W120" s="11"/>
      <c r="X120" s="11"/>
    </row>
    <row r="121" s="14" customFormat="1" spans="1:24">
      <c r="A121" s="11"/>
      <c r="B121" s="11"/>
      <c r="C121" s="12"/>
      <c r="D121" s="11"/>
      <c r="E121" s="11"/>
      <c r="F121" s="11"/>
      <c r="G121" s="38"/>
      <c r="H121" s="11"/>
      <c r="I121" s="11"/>
      <c r="J121" s="11"/>
      <c r="K121" s="11"/>
      <c r="L121" s="11"/>
      <c r="M121" s="11"/>
      <c r="N121" s="11"/>
      <c r="O121" s="11"/>
      <c r="P121" s="11"/>
      <c r="Q121" s="13"/>
      <c r="R121" s="11"/>
      <c r="S121" s="11"/>
      <c r="T121" s="11"/>
      <c r="U121" s="11"/>
      <c r="V121" s="11"/>
      <c r="W121" s="11"/>
      <c r="X121" s="11"/>
    </row>
    <row r="122" s="14" customFormat="1" spans="1:24">
      <c r="A122" s="11"/>
      <c r="B122" s="11"/>
      <c r="C122" s="12"/>
      <c r="D122" s="11"/>
      <c r="E122" s="11"/>
      <c r="F122" s="11"/>
      <c r="G122" s="38"/>
      <c r="H122" s="11"/>
      <c r="I122" s="11"/>
      <c r="J122" s="11"/>
      <c r="K122" s="11"/>
      <c r="L122" s="11"/>
      <c r="M122" s="11"/>
      <c r="N122" s="11"/>
      <c r="O122" s="11"/>
      <c r="P122" s="11"/>
      <c r="Q122" s="13"/>
      <c r="R122" s="11"/>
      <c r="S122" s="11"/>
      <c r="T122" s="11"/>
      <c r="U122" s="11"/>
      <c r="V122" s="11"/>
      <c r="W122" s="11"/>
      <c r="X122" s="11"/>
    </row>
    <row r="123" s="14" customFormat="1" spans="1:24">
      <c r="A123" s="11"/>
      <c r="B123" s="11"/>
      <c r="C123" s="12"/>
      <c r="D123" s="11"/>
      <c r="E123" s="11"/>
      <c r="F123" s="11"/>
      <c r="G123" s="38"/>
      <c r="H123" s="11"/>
      <c r="I123" s="11"/>
      <c r="J123" s="11"/>
      <c r="K123" s="11"/>
      <c r="L123" s="11"/>
      <c r="M123" s="11"/>
      <c r="N123" s="11"/>
      <c r="O123" s="11"/>
      <c r="P123" s="11"/>
      <c r="Q123" s="13"/>
      <c r="R123" s="11"/>
      <c r="S123" s="11"/>
      <c r="T123" s="11"/>
      <c r="U123" s="11"/>
      <c r="V123" s="11"/>
      <c r="W123" s="11"/>
      <c r="X123" s="11"/>
    </row>
    <row r="124" s="14" customFormat="1" spans="1:24">
      <c r="A124" s="11"/>
      <c r="B124" s="11"/>
      <c r="C124" s="12"/>
      <c r="D124" s="11"/>
      <c r="E124" s="11"/>
      <c r="F124" s="11"/>
      <c r="G124" s="38"/>
      <c r="H124" s="11"/>
      <c r="I124" s="11"/>
      <c r="J124" s="11"/>
      <c r="K124" s="11"/>
      <c r="L124" s="11"/>
      <c r="M124" s="11"/>
      <c r="N124" s="11"/>
      <c r="O124" s="11"/>
      <c r="P124" s="11"/>
      <c r="Q124" s="13"/>
      <c r="R124" s="11"/>
      <c r="S124" s="11"/>
      <c r="T124" s="11"/>
      <c r="U124" s="11"/>
      <c r="V124" s="11"/>
      <c r="W124" s="11"/>
      <c r="X124" s="11"/>
    </row>
    <row r="125" s="14" customFormat="1" spans="1:24">
      <c r="A125" s="11"/>
      <c r="B125" s="11"/>
      <c r="C125" s="12"/>
      <c r="D125" s="11"/>
      <c r="E125" s="11"/>
      <c r="F125" s="11"/>
      <c r="G125" s="38"/>
      <c r="H125" s="11"/>
      <c r="I125" s="11"/>
      <c r="J125" s="11"/>
      <c r="K125" s="11"/>
      <c r="L125" s="11"/>
      <c r="M125" s="11"/>
      <c r="N125" s="11"/>
      <c r="O125" s="11"/>
      <c r="P125" s="11"/>
      <c r="Q125" s="13"/>
      <c r="R125" s="11"/>
      <c r="S125" s="11"/>
      <c r="T125" s="11"/>
      <c r="U125" s="11"/>
      <c r="V125" s="11"/>
      <c r="W125" s="11"/>
      <c r="X125" s="11"/>
    </row>
    <row r="126" s="14" customFormat="1" spans="1:24">
      <c r="A126" s="11"/>
      <c r="B126" s="11"/>
      <c r="C126" s="12"/>
      <c r="D126" s="11"/>
      <c r="E126" s="11"/>
      <c r="F126" s="11"/>
      <c r="G126" s="38"/>
      <c r="H126" s="11"/>
      <c r="I126" s="11"/>
      <c r="J126" s="11"/>
      <c r="K126" s="11"/>
      <c r="L126" s="11"/>
      <c r="M126" s="11"/>
      <c r="N126" s="11"/>
      <c r="O126" s="11"/>
      <c r="P126" s="11"/>
      <c r="Q126" s="13"/>
      <c r="R126" s="11"/>
      <c r="S126" s="11"/>
      <c r="T126" s="11"/>
      <c r="U126" s="11"/>
      <c r="V126" s="11"/>
      <c r="W126" s="11"/>
      <c r="X126" s="11"/>
    </row>
    <row r="127" s="14" customFormat="1" spans="1:24">
      <c r="A127" s="11"/>
      <c r="B127" s="11"/>
      <c r="C127" s="12"/>
      <c r="D127" s="11"/>
      <c r="E127" s="11"/>
      <c r="F127" s="11"/>
      <c r="G127" s="38"/>
      <c r="H127" s="11"/>
      <c r="I127" s="11"/>
      <c r="J127" s="11"/>
      <c r="K127" s="11"/>
      <c r="L127" s="11"/>
      <c r="M127" s="11"/>
      <c r="N127" s="11"/>
      <c r="O127" s="11"/>
      <c r="P127" s="11"/>
      <c r="Q127" s="13"/>
      <c r="R127" s="11"/>
      <c r="S127" s="11"/>
      <c r="T127" s="11"/>
      <c r="U127" s="11"/>
      <c r="V127" s="11"/>
      <c r="W127" s="11"/>
      <c r="X127" s="11"/>
    </row>
    <row r="128" s="14" customFormat="1" spans="1:24">
      <c r="A128" s="11"/>
      <c r="B128" s="11"/>
      <c r="C128" s="12"/>
      <c r="D128" s="11"/>
      <c r="E128" s="11"/>
      <c r="F128" s="11"/>
      <c r="G128" s="38"/>
      <c r="H128" s="11"/>
      <c r="I128" s="11"/>
      <c r="J128" s="11"/>
      <c r="K128" s="11"/>
      <c r="L128" s="11"/>
      <c r="M128" s="11"/>
      <c r="N128" s="11"/>
      <c r="O128" s="11"/>
      <c r="P128" s="11"/>
      <c r="Q128" s="13"/>
      <c r="R128" s="11"/>
      <c r="S128" s="11"/>
      <c r="T128" s="11"/>
      <c r="U128" s="11"/>
      <c r="V128" s="11"/>
      <c r="W128" s="11"/>
      <c r="X128" s="11"/>
    </row>
  </sheetData>
  <autoFilter ref="A4:X78"/>
  <mergeCells count="20">
    <mergeCell ref="A1:H1"/>
    <mergeCell ref="D2:H2"/>
    <mergeCell ref="A2:A3"/>
    <mergeCell ref="B2:B4"/>
    <mergeCell ref="C2:C4"/>
    <mergeCell ref="D3:D4"/>
    <mergeCell ref="E3:E4"/>
    <mergeCell ref="F3:F4"/>
    <mergeCell ref="G3:G4"/>
    <mergeCell ref="H3:H4"/>
    <mergeCell ref="I2:I4"/>
    <mergeCell ref="J2:J4"/>
    <mergeCell ref="K2:K4"/>
    <mergeCell ref="L2:L4"/>
    <mergeCell ref="M2:M4"/>
    <mergeCell ref="N2:N4"/>
    <mergeCell ref="O2:O4"/>
    <mergeCell ref="P2:P4"/>
    <mergeCell ref="Q1:Q4"/>
    <mergeCell ref="R2:R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1:Y128"/>
  <sheetViews>
    <sheetView zoomScale="70" zoomScaleNormal="70" workbookViewId="0">
      <pane xSplit="1" ySplit="4" topLeftCell="I68" activePane="bottomRight" state="frozen"/>
      <selection/>
      <selection pane="topRight"/>
      <selection pane="bottomLeft"/>
      <selection pane="bottomRight" activeCell="G12" sqref="G12"/>
    </sheetView>
  </sheetViews>
  <sheetFormatPr defaultColWidth="9" defaultRowHeight="13.5"/>
  <cols>
    <col min="1" max="1" width="8.25" style="11" customWidth="1"/>
    <col min="2" max="2" width="11.125" style="11" customWidth="1"/>
    <col min="3" max="3" width="33.375" style="12" customWidth="1"/>
    <col min="4" max="7" width="17.375" style="11" customWidth="1"/>
    <col min="8" max="17" width="19.875" style="11" customWidth="1"/>
    <col min="18" max="18" width="17.75" style="13" customWidth="1"/>
    <col min="19" max="19" width="19.75" style="11" hidden="1" customWidth="1"/>
    <col min="20" max="20" width="19.75" style="11" customWidth="1"/>
    <col min="21" max="25" width="10.125" style="11" customWidth="1"/>
    <col min="26" max="16384" width="9" style="14"/>
  </cols>
  <sheetData>
    <row r="1" ht="36.75" customHeight="1" spans="1:20">
      <c r="A1" s="15" t="s">
        <v>68</v>
      </c>
      <c r="B1" s="15"/>
      <c r="C1" s="15"/>
      <c r="D1" s="15"/>
      <c r="E1" s="15"/>
      <c r="F1" s="15"/>
      <c r="G1" s="15"/>
      <c r="H1" s="15"/>
      <c r="I1" s="47" t="s">
        <v>1</v>
      </c>
      <c r="J1" s="47" t="s">
        <v>1</v>
      </c>
      <c r="K1" s="47" t="s">
        <v>1</v>
      </c>
      <c r="L1" s="47" t="s">
        <v>1</v>
      </c>
      <c r="M1" s="47" t="s">
        <v>1</v>
      </c>
      <c r="N1" s="47" t="s">
        <v>1</v>
      </c>
      <c r="O1" s="47" t="s">
        <v>1</v>
      </c>
      <c r="P1" s="47" t="s">
        <v>1</v>
      </c>
      <c r="Q1" s="47" t="s">
        <v>1</v>
      </c>
      <c r="R1" s="17" t="s">
        <v>2</v>
      </c>
      <c r="S1" s="27"/>
      <c r="T1" s="27"/>
    </row>
    <row r="2" ht="21.95" customHeight="1" spans="1:20">
      <c r="A2" s="16" t="s">
        <v>3</v>
      </c>
      <c r="B2" s="16" t="s">
        <v>4</v>
      </c>
      <c r="C2" s="17" t="s">
        <v>5</v>
      </c>
      <c r="D2" s="16" t="s">
        <v>6</v>
      </c>
      <c r="E2" s="16"/>
      <c r="F2" s="16"/>
      <c r="G2" s="16"/>
      <c r="H2" s="16"/>
      <c r="I2" s="17" t="s">
        <v>69</v>
      </c>
      <c r="J2" s="17" t="s">
        <v>70</v>
      </c>
      <c r="K2" s="17" t="s">
        <v>71</v>
      </c>
      <c r="L2" s="17" t="s">
        <v>72</v>
      </c>
      <c r="M2" s="17" t="s">
        <v>73</v>
      </c>
      <c r="N2" s="17" t="s">
        <v>74</v>
      </c>
      <c r="O2" s="17" t="s">
        <v>75</v>
      </c>
      <c r="P2" s="17" t="s">
        <v>76</v>
      </c>
      <c r="Q2" s="17" t="s">
        <v>77</v>
      </c>
      <c r="R2" s="17"/>
      <c r="S2" s="28" t="s">
        <v>2</v>
      </c>
      <c r="T2" s="29"/>
    </row>
    <row r="3" ht="24" customHeight="1" spans="1:20">
      <c r="A3" s="16"/>
      <c r="B3" s="16"/>
      <c r="C3" s="17"/>
      <c r="D3" s="17" t="s">
        <v>22</v>
      </c>
      <c r="E3" s="16" t="s">
        <v>23</v>
      </c>
      <c r="F3" s="16" t="s">
        <v>24</v>
      </c>
      <c r="G3" s="16" t="s">
        <v>25</v>
      </c>
      <c r="H3" s="16" t="s">
        <v>2</v>
      </c>
      <c r="I3" s="17"/>
      <c r="J3" s="17"/>
      <c r="K3" s="17"/>
      <c r="L3" s="17"/>
      <c r="M3" s="17"/>
      <c r="N3" s="17"/>
      <c r="O3" s="17"/>
      <c r="P3" s="17"/>
      <c r="Q3" s="17"/>
      <c r="R3" s="17"/>
      <c r="S3" s="30"/>
      <c r="T3" s="29"/>
    </row>
    <row r="4" ht="24" customHeight="1" spans="1:25">
      <c r="A4" s="16" t="s">
        <v>26</v>
      </c>
      <c r="B4" s="16"/>
      <c r="C4" s="17"/>
      <c r="D4" s="17"/>
      <c r="E4" s="16"/>
      <c r="F4" s="16"/>
      <c r="G4" s="16"/>
      <c r="H4" s="16"/>
      <c r="I4" s="17"/>
      <c r="J4" s="17"/>
      <c r="K4" s="17"/>
      <c r="L4" s="17"/>
      <c r="M4" s="17"/>
      <c r="N4" s="17"/>
      <c r="O4" s="17"/>
      <c r="P4" s="17"/>
      <c r="Q4" s="17"/>
      <c r="R4" s="17"/>
      <c r="S4" s="31"/>
      <c r="T4" s="29"/>
      <c r="U4" s="11" t="s">
        <v>53</v>
      </c>
      <c r="V4" s="11" t="s">
        <v>54</v>
      </c>
      <c r="W4" s="11" t="s">
        <v>55</v>
      </c>
      <c r="X4" s="11" t="s">
        <v>24</v>
      </c>
      <c r="Y4" s="11" t="s">
        <v>25</v>
      </c>
    </row>
    <row r="5" ht="16.5" customHeight="1" spans="1:23">
      <c r="A5" s="6">
        <v>1</v>
      </c>
      <c r="B5" s="6">
        <v>62</v>
      </c>
      <c r="C5" s="18" t="s">
        <v>27</v>
      </c>
      <c r="D5" s="19">
        <v>603612.3</v>
      </c>
      <c r="E5" s="19"/>
      <c r="F5" s="19"/>
      <c r="G5" s="19"/>
      <c r="H5" s="20">
        <v>603612.3</v>
      </c>
      <c r="I5" s="20">
        <f>H5*0.11</f>
        <v>66397.353</v>
      </c>
      <c r="J5" s="20">
        <f>H5*0.1</f>
        <v>60361.23</v>
      </c>
      <c r="K5" s="20">
        <f>H5*0.12</f>
        <v>72433.476</v>
      </c>
      <c r="L5" s="20">
        <f>H5*0.13</f>
        <v>78469.599</v>
      </c>
      <c r="M5" s="20">
        <f>H5*0.103</f>
        <v>62172.0669</v>
      </c>
      <c r="N5" s="20">
        <f>H5*0.112</f>
        <v>67604.5776</v>
      </c>
      <c r="O5" s="20">
        <f>H5*0.104</f>
        <v>62775.6792</v>
      </c>
      <c r="P5" s="26">
        <f>H5*0.113</f>
        <v>68208.1899</v>
      </c>
      <c r="Q5" s="26">
        <f>H5-I5-J5-K5-L5-M5-N5-O5-P5</f>
        <v>65190.1284</v>
      </c>
      <c r="R5" s="26">
        <f t="shared" ref="R5:R68" si="0">SUM(I5:Q5)</f>
        <v>603612.3</v>
      </c>
      <c r="S5" s="24" t="e">
        <f>SUM(#REF!)</f>
        <v>#REF!</v>
      </c>
      <c r="T5" s="32">
        <f>1/9</f>
        <v>0.111111111111111</v>
      </c>
      <c r="U5" s="11">
        <v>1</v>
      </c>
      <c r="W5" s="11">
        <v>1</v>
      </c>
    </row>
    <row r="6" ht="16.5" customHeight="1" spans="1:22">
      <c r="A6" s="6">
        <v>1</v>
      </c>
      <c r="B6" s="6">
        <v>111</v>
      </c>
      <c r="C6" s="18" t="s">
        <v>28</v>
      </c>
      <c r="D6" s="19"/>
      <c r="E6" s="19">
        <v>702177.63</v>
      </c>
      <c r="F6" s="19"/>
      <c r="G6" s="19"/>
      <c r="H6" s="20">
        <v>702177.63</v>
      </c>
      <c r="I6" s="20">
        <f t="shared" ref="I6:I37" si="1">H6*0.11</f>
        <v>77239.5393</v>
      </c>
      <c r="J6" s="20">
        <f t="shared" ref="J6:J37" si="2">H6*0.1</f>
        <v>70217.763</v>
      </c>
      <c r="K6" s="20">
        <f t="shared" ref="K6:K37" si="3">H6*0.12</f>
        <v>84261.3156</v>
      </c>
      <c r="L6" s="20">
        <f t="shared" ref="L6:L37" si="4">H6*0.13</f>
        <v>91283.0919</v>
      </c>
      <c r="M6" s="20">
        <f t="shared" ref="M6:M37" si="5">H6*0.103</f>
        <v>72324.29589</v>
      </c>
      <c r="N6" s="20">
        <f t="shared" ref="N6:N37" si="6">H6*0.112</f>
        <v>78643.89456</v>
      </c>
      <c r="O6" s="20">
        <f t="shared" ref="O6:O37" si="7">H6*0.104</f>
        <v>73026.47352</v>
      </c>
      <c r="P6" s="26">
        <f t="shared" ref="P6:P37" si="8">H6*0.113</f>
        <v>79346.07219</v>
      </c>
      <c r="Q6" s="26">
        <f t="shared" ref="Q6:Q37" si="9">H6-I6-J6-K6-L6-M6-N6-O6-P6</f>
        <v>75835.1840400001</v>
      </c>
      <c r="R6" s="26">
        <f>SUM(I6:Q6)</f>
        <v>702177.63</v>
      </c>
      <c r="S6" s="24" t="e">
        <f>SUM(#REF!)</f>
        <v>#REF!</v>
      </c>
      <c r="T6" s="32">
        <f t="shared" ref="T6:T37" si="10">B6+24</f>
        <v>135</v>
      </c>
      <c r="U6" s="11">
        <v>2</v>
      </c>
      <c r="V6" s="11">
        <v>1</v>
      </c>
    </row>
    <row r="7" ht="16.5" customHeight="1" spans="1:24">
      <c r="A7" s="6">
        <v>1</v>
      </c>
      <c r="B7" s="6">
        <v>107</v>
      </c>
      <c r="C7" s="18" t="s">
        <v>29</v>
      </c>
      <c r="D7" s="19"/>
      <c r="E7" s="19"/>
      <c r="F7" s="19">
        <v>168548.71</v>
      </c>
      <c r="G7" s="19"/>
      <c r="H7" s="20">
        <v>168548.71</v>
      </c>
      <c r="I7" s="20">
        <f>H7*0.11</f>
        <v>18540.3581</v>
      </c>
      <c r="J7" s="20">
        <f>H7*0.1</f>
        <v>16854.871</v>
      </c>
      <c r="K7" s="20">
        <f>H7*0.12</f>
        <v>20225.8452</v>
      </c>
      <c r="L7" s="20">
        <f>H7*0.13</f>
        <v>21911.3323</v>
      </c>
      <c r="M7" s="20">
        <f>H7*0.103</f>
        <v>17360.51713</v>
      </c>
      <c r="N7" s="20">
        <f>H7*0.112</f>
        <v>18877.45552</v>
      </c>
      <c r="O7" s="20">
        <f>H7*0.104</f>
        <v>17529.06584</v>
      </c>
      <c r="P7" s="26">
        <f>H7*0.113</f>
        <v>19046.00423</v>
      </c>
      <c r="Q7" s="26">
        <f>H7-I7-J7-K7-L7-M7-N7-O7-P7</f>
        <v>18203.26068</v>
      </c>
      <c r="R7" s="26">
        <f>SUM(I7:Q7)</f>
        <v>168548.71</v>
      </c>
      <c r="S7" s="24" t="e">
        <f>SUM(#REF!)</f>
        <v>#REF!</v>
      </c>
      <c r="T7" s="32">
        <f>B7+24</f>
        <v>131</v>
      </c>
      <c r="U7" s="11">
        <v>3</v>
      </c>
      <c r="X7" s="11">
        <v>1</v>
      </c>
    </row>
    <row r="8" ht="16.5" customHeight="1" spans="1:25">
      <c r="A8" s="6">
        <v>1</v>
      </c>
      <c r="B8" s="6">
        <v>124</v>
      </c>
      <c r="C8" s="18" t="s">
        <v>30</v>
      </c>
      <c r="D8" s="19"/>
      <c r="E8" s="19"/>
      <c r="F8" s="19"/>
      <c r="G8" s="19">
        <v>3190.29</v>
      </c>
      <c r="H8" s="20">
        <v>3190.29</v>
      </c>
      <c r="I8" s="20">
        <f>H8*0.11</f>
        <v>350.9319</v>
      </c>
      <c r="J8" s="20">
        <f>H8*0.1</f>
        <v>319.029</v>
      </c>
      <c r="K8" s="20">
        <f>H8*0.12</f>
        <v>382.8348</v>
      </c>
      <c r="L8" s="20">
        <f>H8*0.13</f>
        <v>414.7377</v>
      </c>
      <c r="M8" s="20">
        <f>H8*0.103</f>
        <v>328.59987</v>
      </c>
      <c r="N8" s="20">
        <f>H8*0.112</f>
        <v>357.31248</v>
      </c>
      <c r="O8" s="20">
        <f>H8*0.104</f>
        <v>331.79016</v>
      </c>
      <c r="P8" s="26">
        <f>H8*0.113</f>
        <v>360.50277</v>
      </c>
      <c r="Q8" s="26">
        <f>H8-I8-J8-K8-L8-M8-N8-O8-P8</f>
        <v>344.55132</v>
      </c>
      <c r="R8" s="26">
        <f>SUM(I8:Q8)</f>
        <v>3190.29</v>
      </c>
      <c r="S8" s="24" t="e">
        <f>SUM(#REF!)</f>
        <v>#REF!</v>
      </c>
      <c r="T8" s="32">
        <f>B8+24</f>
        <v>148</v>
      </c>
      <c r="U8" s="11">
        <v>4</v>
      </c>
      <c r="Y8" s="11">
        <v>1</v>
      </c>
    </row>
    <row r="9" s="9" customFormat="1" ht="16.5" customHeight="1" spans="1:25">
      <c r="A9" s="21"/>
      <c r="B9" s="6"/>
      <c r="C9" s="5" t="s">
        <v>31</v>
      </c>
      <c r="D9" s="22">
        <v>603612.3</v>
      </c>
      <c r="E9" s="22">
        <v>702177.63</v>
      </c>
      <c r="F9" s="22">
        <v>168548.71</v>
      </c>
      <c r="G9" s="22">
        <v>3190.29</v>
      </c>
      <c r="H9" s="23">
        <v>1477528.93</v>
      </c>
      <c r="I9" s="20"/>
      <c r="J9" s="20"/>
      <c r="K9" s="20"/>
      <c r="L9" s="20"/>
      <c r="M9" s="20"/>
      <c r="N9" s="20"/>
      <c r="O9" s="20"/>
      <c r="P9" s="26"/>
      <c r="Q9" s="26"/>
      <c r="R9" s="26"/>
      <c r="S9" s="24" t="e">
        <f>SUM(#REF!)</f>
        <v>#REF!</v>
      </c>
      <c r="T9" s="32">
        <f>B9+24</f>
        <v>24</v>
      </c>
      <c r="U9" s="11">
        <v>5</v>
      </c>
      <c r="V9" s="10"/>
      <c r="W9" s="10"/>
      <c r="X9" s="10"/>
      <c r="Y9" s="10"/>
    </row>
    <row r="10" s="9" customFormat="1" ht="16.5" customHeight="1" spans="1:25">
      <c r="A10" s="21"/>
      <c r="B10" s="6"/>
      <c r="C10" s="5" t="s">
        <v>32</v>
      </c>
      <c r="D10" s="22">
        <v>603612.3</v>
      </c>
      <c r="E10" s="22">
        <v>702177.63</v>
      </c>
      <c r="F10" s="22">
        <v>168548.71</v>
      </c>
      <c r="G10" s="22">
        <v>3190.29</v>
      </c>
      <c r="H10" s="23">
        <v>1477528.93</v>
      </c>
      <c r="I10" s="20"/>
      <c r="J10" s="20"/>
      <c r="K10" s="20"/>
      <c r="L10" s="20"/>
      <c r="M10" s="20"/>
      <c r="N10" s="20"/>
      <c r="O10" s="20"/>
      <c r="P10" s="26"/>
      <c r="Q10" s="26"/>
      <c r="R10" s="26"/>
      <c r="S10" s="24" t="e">
        <f>SUM(#REF!)</f>
        <v>#REF!</v>
      </c>
      <c r="T10" s="32">
        <f>B10+24</f>
        <v>24</v>
      </c>
      <c r="U10" s="11">
        <v>6</v>
      </c>
      <c r="V10" s="10"/>
      <c r="W10" s="10"/>
      <c r="X10" s="10"/>
      <c r="Y10" s="10"/>
    </row>
    <row r="11" ht="16.5" customHeight="1" spans="1:23">
      <c r="A11" s="6">
        <v>2</v>
      </c>
      <c r="B11" s="6">
        <v>59</v>
      </c>
      <c r="C11" s="18" t="s">
        <v>27</v>
      </c>
      <c r="D11" s="19">
        <v>601071.46</v>
      </c>
      <c r="E11" s="19"/>
      <c r="F11" s="19"/>
      <c r="G11" s="19"/>
      <c r="H11" s="20">
        <v>601071.46</v>
      </c>
      <c r="I11" s="20">
        <f>H11*0.11</f>
        <v>66117.8606</v>
      </c>
      <c r="J11" s="20">
        <f>H11*0.1</f>
        <v>60107.146</v>
      </c>
      <c r="K11" s="20">
        <f>H11*0.12</f>
        <v>72128.5752</v>
      </c>
      <c r="L11" s="20">
        <f>H11*0.13</f>
        <v>78139.2898</v>
      </c>
      <c r="M11" s="20">
        <f>H11*0.103</f>
        <v>61910.36038</v>
      </c>
      <c r="N11" s="20">
        <f>H11*0.112</f>
        <v>67320.00352</v>
      </c>
      <c r="O11" s="20">
        <f>H11*0.104</f>
        <v>62511.43184</v>
      </c>
      <c r="P11" s="26">
        <f>H11*0.113</f>
        <v>67921.07498</v>
      </c>
      <c r="Q11" s="26">
        <f>H11-I11-J11-K11-L11-M11-N11-O11-P11</f>
        <v>64915.7176799999</v>
      </c>
      <c r="R11" s="26">
        <f>SUM(I11:Q11)</f>
        <v>601071.46</v>
      </c>
      <c r="S11" s="24" t="e">
        <f>SUM(#REF!)</f>
        <v>#REF!</v>
      </c>
      <c r="T11" s="32">
        <f>B11+24</f>
        <v>83</v>
      </c>
      <c r="U11" s="11">
        <v>7</v>
      </c>
      <c r="W11" s="11">
        <v>2</v>
      </c>
    </row>
    <row r="12" ht="16.5" customHeight="1" spans="1:22">
      <c r="A12" s="6">
        <v>2</v>
      </c>
      <c r="B12" s="6">
        <v>78</v>
      </c>
      <c r="C12" s="18" t="s">
        <v>28</v>
      </c>
      <c r="D12" s="19"/>
      <c r="E12" s="19">
        <v>707146.38</v>
      </c>
      <c r="F12" s="19"/>
      <c r="G12" s="19"/>
      <c r="H12" s="20">
        <v>707146.38</v>
      </c>
      <c r="I12" s="20">
        <f>H12*0.11</f>
        <v>77786.1018</v>
      </c>
      <c r="J12" s="20">
        <f>H12*0.1</f>
        <v>70714.638</v>
      </c>
      <c r="K12" s="20">
        <f>H12*0.12</f>
        <v>84857.5656</v>
      </c>
      <c r="L12" s="20">
        <f>H12*0.13</f>
        <v>91929.0294</v>
      </c>
      <c r="M12" s="20">
        <f>H12*0.103</f>
        <v>72836.07714</v>
      </c>
      <c r="N12" s="20">
        <f>H12*0.112</f>
        <v>79200.39456</v>
      </c>
      <c r="O12" s="20">
        <f>H12*0.104</f>
        <v>73543.22352</v>
      </c>
      <c r="P12" s="26">
        <f>H12*0.113</f>
        <v>79907.54094</v>
      </c>
      <c r="Q12" s="26">
        <f>H12-I12-J12-K12-L12-M12-N12-O12-P12</f>
        <v>76371.8090400001</v>
      </c>
      <c r="R12" s="26">
        <f>SUM(I12:Q12)</f>
        <v>707146.38</v>
      </c>
      <c r="S12" s="24" t="e">
        <f>SUM(#REF!)</f>
        <v>#REF!</v>
      </c>
      <c r="T12" s="32">
        <f>B12+24</f>
        <v>102</v>
      </c>
      <c r="U12" s="11">
        <v>8</v>
      </c>
      <c r="V12" s="11">
        <v>2</v>
      </c>
    </row>
    <row r="13" ht="16.5" customHeight="1" spans="1:24">
      <c r="A13" s="6">
        <v>2</v>
      </c>
      <c r="B13" s="6">
        <v>79</v>
      </c>
      <c r="C13" s="18" t="s">
        <v>29</v>
      </c>
      <c r="D13" s="19"/>
      <c r="E13" s="19"/>
      <c r="F13" s="19">
        <v>157001.86</v>
      </c>
      <c r="G13" s="19"/>
      <c r="H13" s="20">
        <v>157001.86</v>
      </c>
      <c r="I13" s="20">
        <f>H13*0.11</f>
        <v>17270.2046</v>
      </c>
      <c r="J13" s="20">
        <f>H13*0.1</f>
        <v>15700.186</v>
      </c>
      <c r="K13" s="20">
        <f>H13*0.12</f>
        <v>18840.2232</v>
      </c>
      <c r="L13" s="20">
        <f>H13*0.13</f>
        <v>20410.2418</v>
      </c>
      <c r="M13" s="20">
        <f>H13*0.103</f>
        <v>16171.19158</v>
      </c>
      <c r="N13" s="20">
        <f>H13*0.112</f>
        <v>17584.20832</v>
      </c>
      <c r="O13" s="20">
        <f>H13*0.104</f>
        <v>16328.19344</v>
      </c>
      <c r="P13" s="26">
        <f>H13*0.113</f>
        <v>17741.21018</v>
      </c>
      <c r="Q13" s="26">
        <f>H13-I13-J13-K13-L13-M13-N13-O13-P13</f>
        <v>16956.20088</v>
      </c>
      <c r="R13" s="26">
        <f>SUM(I13:Q13)</f>
        <v>157001.86</v>
      </c>
      <c r="S13" s="24" t="e">
        <f>SUM(#REF!)</f>
        <v>#REF!</v>
      </c>
      <c r="T13" s="32">
        <f>B13+24</f>
        <v>103</v>
      </c>
      <c r="U13" s="11">
        <v>9</v>
      </c>
      <c r="X13" s="11">
        <v>2</v>
      </c>
    </row>
    <row r="14" ht="16.5" customHeight="1" spans="1:20">
      <c r="A14" s="6">
        <v>2</v>
      </c>
      <c r="B14" s="6">
        <v>89</v>
      </c>
      <c r="C14" s="18" t="s">
        <v>30</v>
      </c>
      <c r="D14" s="19"/>
      <c r="E14" s="19"/>
      <c r="F14" s="19"/>
      <c r="G14" s="19">
        <v>2990.23</v>
      </c>
      <c r="H14" s="20">
        <v>2990.23</v>
      </c>
      <c r="I14" s="20">
        <f>H14*0.11</f>
        <v>328.9253</v>
      </c>
      <c r="J14" s="20">
        <f>H14*0.1</f>
        <v>299.023</v>
      </c>
      <c r="K14" s="20">
        <f>H14*0.12</f>
        <v>358.8276</v>
      </c>
      <c r="L14" s="20">
        <f>H14*0.13</f>
        <v>388.7299</v>
      </c>
      <c r="M14" s="20">
        <f>H14*0.103</f>
        <v>307.99369</v>
      </c>
      <c r="N14" s="20">
        <f>H14*0.112</f>
        <v>334.90576</v>
      </c>
      <c r="O14" s="20">
        <f>H14*0.104</f>
        <v>310.98392</v>
      </c>
      <c r="P14" s="26">
        <f>H14*0.113</f>
        <v>337.89599</v>
      </c>
      <c r="Q14" s="26">
        <f>H14-I14-J14-K14-L14-M14-N14-O14-P14</f>
        <v>322.94484</v>
      </c>
      <c r="R14" s="26">
        <f>SUM(I14:Q14)</f>
        <v>2990.23</v>
      </c>
      <c r="S14" s="24"/>
      <c r="T14" s="32">
        <f>B14+24</f>
        <v>113</v>
      </c>
    </row>
    <row r="15" s="9" customFormat="1" ht="16.5" customHeight="1" spans="1:25">
      <c r="A15" s="21"/>
      <c r="B15" s="6"/>
      <c r="C15" s="5" t="s">
        <v>31</v>
      </c>
      <c r="D15" s="22">
        <v>601071.46</v>
      </c>
      <c r="E15" s="22">
        <v>707146.38</v>
      </c>
      <c r="F15" s="22">
        <v>157001.86</v>
      </c>
      <c r="G15" s="22">
        <v>2990.23</v>
      </c>
      <c r="H15" s="22">
        <v>1468209.93</v>
      </c>
      <c r="I15" s="20"/>
      <c r="J15" s="20"/>
      <c r="K15" s="20"/>
      <c r="L15" s="20"/>
      <c r="M15" s="20"/>
      <c r="N15" s="20"/>
      <c r="O15" s="20"/>
      <c r="P15" s="26"/>
      <c r="Q15" s="26"/>
      <c r="R15" s="26"/>
      <c r="S15" s="24" t="e">
        <f>SUM(#REF!)</f>
        <v>#REF!</v>
      </c>
      <c r="T15" s="32">
        <f>B15+24</f>
        <v>24</v>
      </c>
      <c r="U15" s="11">
        <v>10</v>
      </c>
      <c r="V15" s="10"/>
      <c r="W15" s="10"/>
      <c r="X15" s="10"/>
      <c r="Y15" s="10"/>
    </row>
    <row r="16" s="9" customFormat="1" ht="16.5" customHeight="1" spans="1:25">
      <c r="A16" s="21"/>
      <c r="B16" s="6"/>
      <c r="C16" s="5" t="s">
        <v>32</v>
      </c>
      <c r="D16" s="22">
        <v>1204683.76</v>
      </c>
      <c r="E16" s="22">
        <v>1409324.01</v>
      </c>
      <c r="F16" s="22">
        <v>325550.57</v>
      </c>
      <c r="G16" s="22">
        <v>6180.52</v>
      </c>
      <c r="H16" s="23">
        <v>2945738.86</v>
      </c>
      <c r="I16" s="20"/>
      <c r="J16" s="20"/>
      <c r="K16" s="20"/>
      <c r="L16" s="20"/>
      <c r="M16" s="20"/>
      <c r="N16" s="20"/>
      <c r="O16" s="20"/>
      <c r="P16" s="26"/>
      <c r="Q16" s="26"/>
      <c r="R16" s="26"/>
      <c r="S16" s="24" t="e">
        <f>SUM(#REF!)</f>
        <v>#REF!</v>
      </c>
      <c r="T16" s="32">
        <f>B16+24</f>
        <v>24</v>
      </c>
      <c r="U16" s="11">
        <v>11</v>
      </c>
      <c r="V16" s="10"/>
      <c r="W16" s="10"/>
      <c r="X16" s="10"/>
      <c r="Y16" s="10"/>
    </row>
    <row r="17" ht="16.5" customHeight="1" spans="1:23">
      <c r="A17" s="6">
        <v>3</v>
      </c>
      <c r="B17" s="6">
        <v>58</v>
      </c>
      <c r="C17" s="18" t="s">
        <v>27</v>
      </c>
      <c r="D17" s="19">
        <v>567539.79</v>
      </c>
      <c r="E17" s="19"/>
      <c r="F17" s="19"/>
      <c r="G17" s="19"/>
      <c r="H17" s="20">
        <v>567539.79</v>
      </c>
      <c r="I17" s="20">
        <f>H17*0.11</f>
        <v>62429.3769</v>
      </c>
      <c r="J17" s="20">
        <f>H17*0.1</f>
        <v>56753.979</v>
      </c>
      <c r="K17" s="20">
        <f>H17*0.12</f>
        <v>68104.7748</v>
      </c>
      <c r="L17" s="20">
        <f>H17*0.13</f>
        <v>73780.1727</v>
      </c>
      <c r="M17" s="20">
        <f>H17*0.103</f>
        <v>58456.59837</v>
      </c>
      <c r="N17" s="20">
        <f>H17*0.112</f>
        <v>63564.45648</v>
      </c>
      <c r="O17" s="20">
        <f>H17*0.104</f>
        <v>59024.13816</v>
      </c>
      <c r="P17" s="26">
        <f>H17*0.113</f>
        <v>64131.99627</v>
      </c>
      <c r="Q17" s="26">
        <f>H17-I17-J17-K17-L17-M17-N17-O17-P17</f>
        <v>61294.29732</v>
      </c>
      <c r="R17" s="26">
        <f>SUM(I17:Q17)</f>
        <v>567539.79</v>
      </c>
      <c r="S17" s="24" t="e">
        <f>SUM(#REF!)</f>
        <v>#REF!</v>
      </c>
      <c r="T17" s="32">
        <f>B17+24</f>
        <v>82</v>
      </c>
      <c r="U17" s="11">
        <v>12</v>
      </c>
      <c r="W17" s="11">
        <v>3</v>
      </c>
    </row>
    <row r="18" ht="16.5" customHeight="1" spans="1:22">
      <c r="A18" s="6">
        <v>3</v>
      </c>
      <c r="B18" s="6">
        <v>92</v>
      </c>
      <c r="C18" s="18" t="s">
        <v>28</v>
      </c>
      <c r="D18" s="19"/>
      <c r="E18" s="19">
        <v>712781.18</v>
      </c>
      <c r="F18" s="19"/>
      <c r="G18" s="19"/>
      <c r="H18" s="20">
        <v>712781.18</v>
      </c>
      <c r="I18" s="20">
        <f>H18*0.11</f>
        <v>78405.9298</v>
      </c>
      <c r="J18" s="20">
        <f>H18*0.1</f>
        <v>71278.118</v>
      </c>
      <c r="K18" s="20">
        <f>H18*0.12</f>
        <v>85533.7416</v>
      </c>
      <c r="L18" s="20">
        <f>H18*0.13</f>
        <v>92661.5534</v>
      </c>
      <c r="M18" s="20">
        <f>H18*0.103</f>
        <v>73416.46154</v>
      </c>
      <c r="N18" s="20">
        <f>H18*0.112</f>
        <v>79831.49216</v>
      </c>
      <c r="O18" s="20">
        <f>H18*0.104</f>
        <v>74129.24272</v>
      </c>
      <c r="P18" s="26">
        <f>H18*0.113</f>
        <v>80544.27334</v>
      </c>
      <c r="Q18" s="26">
        <f>H18-I18-J18-K18-L18-M18-N18-O18-P18</f>
        <v>76980.3674399999</v>
      </c>
      <c r="R18" s="26">
        <f>SUM(I18:Q18)</f>
        <v>712781.18</v>
      </c>
      <c r="S18" s="24" t="e">
        <f>SUM(#REF!)</f>
        <v>#REF!</v>
      </c>
      <c r="T18" s="32">
        <f>B18+24</f>
        <v>116</v>
      </c>
      <c r="U18" s="11">
        <v>13</v>
      </c>
      <c r="V18" s="11">
        <v>3</v>
      </c>
    </row>
    <row r="19" ht="16.5" customHeight="1" spans="1:24">
      <c r="A19" s="6">
        <v>3</v>
      </c>
      <c r="B19" s="6">
        <v>59</v>
      </c>
      <c r="C19" s="18" t="s">
        <v>29</v>
      </c>
      <c r="D19" s="19"/>
      <c r="E19" s="19"/>
      <c r="F19" s="19">
        <v>171751.43</v>
      </c>
      <c r="G19" s="19"/>
      <c r="H19" s="20">
        <v>171751.43</v>
      </c>
      <c r="I19" s="20">
        <f>H19*0.11</f>
        <v>18892.6573</v>
      </c>
      <c r="J19" s="20">
        <f>H19*0.1</f>
        <v>17175.143</v>
      </c>
      <c r="K19" s="20">
        <f>H19*0.12</f>
        <v>20610.1716</v>
      </c>
      <c r="L19" s="20">
        <f>H19*0.13</f>
        <v>22327.6859</v>
      </c>
      <c r="M19" s="20">
        <f>H19*0.103</f>
        <v>17690.39729</v>
      </c>
      <c r="N19" s="20">
        <f>H19*0.112</f>
        <v>19236.16016</v>
      </c>
      <c r="O19" s="20">
        <f>H19*0.104</f>
        <v>17862.14872</v>
      </c>
      <c r="P19" s="26">
        <f>H19*0.113</f>
        <v>19407.91159</v>
      </c>
      <c r="Q19" s="26">
        <f>H19-I19-J19-K19-L19-M19-N19-O19-P19</f>
        <v>18549.15444</v>
      </c>
      <c r="R19" s="26">
        <f>SUM(I19:Q19)</f>
        <v>171751.43</v>
      </c>
      <c r="S19" s="24" t="e">
        <f>SUM(#REF!)</f>
        <v>#REF!</v>
      </c>
      <c r="T19" s="32">
        <f>B19+24</f>
        <v>83</v>
      </c>
      <c r="U19" s="11">
        <v>14</v>
      </c>
      <c r="X19" s="11">
        <v>3</v>
      </c>
    </row>
    <row r="20" ht="16.5" customHeight="1" spans="1:25">
      <c r="A20" s="6">
        <v>3</v>
      </c>
      <c r="B20" s="6">
        <v>60</v>
      </c>
      <c r="C20" s="18" t="s">
        <v>30</v>
      </c>
      <c r="D20" s="19"/>
      <c r="E20" s="19"/>
      <c r="F20" s="19"/>
      <c r="G20" s="19">
        <v>2985.82</v>
      </c>
      <c r="H20" s="20">
        <v>2985.82</v>
      </c>
      <c r="I20" s="20">
        <f>H20*0.11</f>
        <v>328.4402</v>
      </c>
      <c r="J20" s="20">
        <f>H20*0.1</f>
        <v>298.582</v>
      </c>
      <c r="K20" s="20">
        <f>H20*0.12</f>
        <v>358.2984</v>
      </c>
      <c r="L20" s="20">
        <f>H20*0.13</f>
        <v>388.1566</v>
      </c>
      <c r="M20" s="20">
        <f>H20*0.103</f>
        <v>307.53946</v>
      </c>
      <c r="N20" s="20">
        <f>H20*0.112</f>
        <v>334.41184</v>
      </c>
      <c r="O20" s="20">
        <f>H20*0.104</f>
        <v>310.52528</v>
      </c>
      <c r="P20" s="26">
        <f>H20*0.113</f>
        <v>337.39766</v>
      </c>
      <c r="Q20" s="26">
        <f>H20-I20-J20-K20-L20-M20-N20-O20-P20</f>
        <v>322.46856</v>
      </c>
      <c r="R20" s="26">
        <f>SUM(I20:Q20)</f>
        <v>2985.82</v>
      </c>
      <c r="S20" s="24" t="e">
        <f>SUM(#REF!)</f>
        <v>#REF!</v>
      </c>
      <c r="T20" s="32">
        <f>B20+24</f>
        <v>84</v>
      </c>
      <c r="U20" s="11">
        <v>15</v>
      </c>
      <c r="Y20" s="11">
        <v>2</v>
      </c>
    </row>
    <row r="21" s="9" customFormat="1" ht="16.5" customHeight="1" spans="1:25">
      <c r="A21" s="21"/>
      <c r="B21" s="6"/>
      <c r="C21" s="5" t="s">
        <v>31</v>
      </c>
      <c r="D21" s="22">
        <v>567539.79</v>
      </c>
      <c r="E21" s="22">
        <v>712781.18</v>
      </c>
      <c r="F21" s="22">
        <v>171751.43</v>
      </c>
      <c r="G21" s="22">
        <v>2985.82</v>
      </c>
      <c r="H21" s="23">
        <v>1455058.22</v>
      </c>
      <c r="I21" s="20"/>
      <c r="J21" s="20"/>
      <c r="K21" s="20"/>
      <c r="L21" s="20"/>
      <c r="M21" s="20"/>
      <c r="N21" s="20"/>
      <c r="O21" s="20"/>
      <c r="P21" s="26"/>
      <c r="Q21" s="26"/>
      <c r="R21" s="26"/>
      <c r="S21" s="24" t="e">
        <f>SUM(#REF!)</f>
        <v>#REF!</v>
      </c>
      <c r="T21" s="32">
        <f>B21+24</f>
        <v>24</v>
      </c>
      <c r="U21" s="11">
        <v>16</v>
      </c>
      <c r="V21" s="10"/>
      <c r="W21" s="10"/>
      <c r="X21" s="10"/>
      <c r="Y21" s="10"/>
    </row>
    <row r="22" s="9" customFormat="1" ht="16.5" customHeight="1" spans="1:25">
      <c r="A22" s="21"/>
      <c r="B22" s="6"/>
      <c r="C22" s="5" t="s">
        <v>32</v>
      </c>
      <c r="D22" s="22">
        <v>1772223.55</v>
      </c>
      <c r="E22" s="22">
        <v>2122105.19</v>
      </c>
      <c r="F22" s="22">
        <v>497302</v>
      </c>
      <c r="G22" s="22">
        <v>9166.34</v>
      </c>
      <c r="H22" s="23">
        <v>4400797.08</v>
      </c>
      <c r="I22" s="20"/>
      <c r="J22" s="20"/>
      <c r="K22" s="20"/>
      <c r="L22" s="20"/>
      <c r="M22" s="20"/>
      <c r="N22" s="20"/>
      <c r="O22" s="20"/>
      <c r="P22" s="26"/>
      <c r="Q22" s="26"/>
      <c r="R22" s="26"/>
      <c r="S22" s="24" t="e">
        <f>SUM(#REF!)</f>
        <v>#REF!</v>
      </c>
      <c r="T22" s="32">
        <f>B22+24</f>
        <v>24</v>
      </c>
      <c r="U22" s="11">
        <v>17</v>
      </c>
      <c r="V22" s="10"/>
      <c r="W22" s="10"/>
      <c r="X22" s="10"/>
      <c r="Y22" s="10"/>
    </row>
    <row r="23" ht="16.5" customHeight="1" spans="1:23">
      <c r="A23" s="6">
        <v>4</v>
      </c>
      <c r="B23" s="6">
        <v>55</v>
      </c>
      <c r="C23" s="18" t="s">
        <v>27</v>
      </c>
      <c r="D23" s="19">
        <v>605832.92</v>
      </c>
      <c r="E23" s="19"/>
      <c r="F23" s="19"/>
      <c r="G23" s="19"/>
      <c r="H23" s="20">
        <v>605832.92</v>
      </c>
      <c r="I23" s="20">
        <f>H23*0.11</f>
        <v>66641.6212</v>
      </c>
      <c r="J23" s="20">
        <f>H23*0.1</f>
        <v>60583.292</v>
      </c>
      <c r="K23" s="20">
        <f>H23*0.12</f>
        <v>72699.9504</v>
      </c>
      <c r="L23" s="20">
        <f>H23*0.13</f>
        <v>78758.2796</v>
      </c>
      <c r="M23" s="20">
        <f>H23*0.103</f>
        <v>62400.79076</v>
      </c>
      <c r="N23" s="20">
        <f>H23*0.112</f>
        <v>67853.28704</v>
      </c>
      <c r="O23" s="20">
        <f>H23*0.104</f>
        <v>63006.62368</v>
      </c>
      <c r="P23" s="26">
        <f>H23*0.113</f>
        <v>68459.11996</v>
      </c>
      <c r="Q23" s="26">
        <f>H23-I23-J23-K23-L23-M23-N23-O23-P23</f>
        <v>65429.9553599999</v>
      </c>
      <c r="R23" s="26">
        <f>SUM(I23:Q23)</f>
        <v>605832.92</v>
      </c>
      <c r="S23" s="24" t="e">
        <f>SUM(#REF!)</f>
        <v>#REF!</v>
      </c>
      <c r="T23" s="32">
        <f>B23+24</f>
        <v>79</v>
      </c>
      <c r="U23" s="11">
        <v>18</v>
      </c>
      <c r="W23" s="11">
        <v>4</v>
      </c>
    </row>
    <row r="24" ht="16.5" customHeight="1" spans="1:22">
      <c r="A24" s="6">
        <v>4</v>
      </c>
      <c r="B24" s="6">
        <v>103</v>
      </c>
      <c r="C24" s="18" t="s">
        <v>28</v>
      </c>
      <c r="D24" s="19"/>
      <c r="E24" s="19">
        <v>730479.09</v>
      </c>
      <c r="F24" s="19"/>
      <c r="G24" s="19"/>
      <c r="H24" s="20">
        <v>730479.09</v>
      </c>
      <c r="I24" s="20">
        <f>H24*0.11</f>
        <v>80352.6999</v>
      </c>
      <c r="J24" s="20">
        <f>H24*0.1</f>
        <v>73047.909</v>
      </c>
      <c r="K24" s="20">
        <f>H24*0.12</f>
        <v>87657.4908</v>
      </c>
      <c r="L24" s="20">
        <f>H24*0.13</f>
        <v>94962.2817</v>
      </c>
      <c r="M24" s="20">
        <f>H24*0.103</f>
        <v>75239.34627</v>
      </c>
      <c r="N24" s="20">
        <f>H24*0.112</f>
        <v>81813.65808</v>
      </c>
      <c r="O24" s="20">
        <f>H24*0.104</f>
        <v>75969.82536</v>
      </c>
      <c r="P24" s="26">
        <f>H24*0.113</f>
        <v>82544.13717</v>
      </c>
      <c r="Q24" s="26">
        <f>H24-I24-J24-K24-L24-M24-N24-O24-P24</f>
        <v>78891.74172</v>
      </c>
      <c r="R24" s="26">
        <f>SUM(I24:Q24)</f>
        <v>730479.09</v>
      </c>
      <c r="S24" s="24" t="e">
        <f>SUM(#REF!)</f>
        <v>#REF!</v>
      </c>
      <c r="T24" s="32">
        <f>B24+24</f>
        <v>127</v>
      </c>
      <c r="U24" s="11">
        <v>19</v>
      </c>
      <c r="V24" s="11">
        <v>4</v>
      </c>
    </row>
    <row r="25" ht="16.5" customHeight="1" spans="1:24">
      <c r="A25" s="6">
        <v>4</v>
      </c>
      <c r="B25" s="6">
        <v>99</v>
      </c>
      <c r="C25" s="18" t="s">
        <v>29</v>
      </c>
      <c r="D25" s="19"/>
      <c r="E25" s="19"/>
      <c r="F25" s="19">
        <v>165478.11</v>
      </c>
      <c r="G25" s="19"/>
      <c r="H25" s="20">
        <v>165478.11</v>
      </c>
      <c r="I25" s="20">
        <f>H25*0.11</f>
        <v>18202.5921</v>
      </c>
      <c r="J25" s="20">
        <f>H25*0.1</f>
        <v>16547.811</v>
      </c>
      <c r="K25" s="20">
        <f>H25*0.12</f>
        <v>19857.3732</v>
      </c>
      <c r="L25" s="20">
        <f>H25*0.13</f>
        <v>21512.1543</v>
      </c>
      <c r="M25" s="20">
        <f>H25*0.103</f>
        <v>17044.24533</v>
      </c>
      <c r="N25" s="20">
        <f>H25*0.112</f>
        <v>18533.54832</v>
      </c>
      <c r="O25" s="20">
        <f>H25*0.104</f>
        <v>17209.72344</v>
      </c>
      <c r="P25" s="26">
        <f>H25*0.113</f>
        <v>18699.02643</v>
      </c>
      <c r="Q25" s="26">
        <f>H25-I25-J25-K25-L25-M25-N25-O25-P25</f>
        <v>17871.63588</v>
      </c>
      <c r="R25" s="26">
        <f>SUM(I25:Q25)</f>
        <v>165478.11</v>
      </c>
      <c r="S25" s="24" t="e">
        <f>SUM(#REF!)</f>
        <v>#REF!</v>
      </c>
      <c r="T25" s="32">
        <f>B25+24</f>
        <v>123</v>
      </c>
      <c r="U25" s="11">
        <v>20</v>
      </c>
      <c r="X25" s="11">
        <v>4</v>
      </c>
    </row>
    <row r="26" ht="16.5" customHeight="1" spans="1:20">
      <c r="A26" s="6">
        <v>4</v>
      </c>
      <c r="B26" s="6">
        <v>45</v>
      </c>
      <c r="C26" s="18" t="s">
        <v>30</v>
      </c>
      <c r="D26" s="19"/>
      <c r="E26" s="19"/>
      <c r="F26" s="19"/>
      <c r="G26" s="19">
        <v>2976.73</v>
      </c>
      <c r="H26" s="20">
        <v>2976.73</v>
      </c>
      <c r="I26" s="20">
        <f>H26*0.11</f>
        <v>327.4403</v>
      </c>
      <c r="J26" s="20">
        <f>H26*0.1</f>
        <v>297.673</v>
      </c>
      <c r="K26" s="20">
        <f>H26*0.12</f>
        <v>357.2076</v>
      </c>
      <c r="L26" s="20">
        <f>H26*0.13</f>
        <v>386.9749</v>
      </c>
      <c r="M26" s="20">
        <f>H26*0.103</f>
        <v>306.60319</v>
      </c>
      <c r="N26" s="20">
        <f>H26*0.112</f>
        <v>333.39376</v>
      </c>
      <c r="O26" s="20">
        <f>H26*0.104</f>
        <v>309.57992</v>
      </c>
      <c r="P26" s="26">
        <f>H26*0.113</f>
        <v>336.37049</v>
      </c>
      <c r="Q26" s="26">
        <f>H26-I26-J26-K26-L26-M26-N26-O26-P26</f>
        <v>321.486840000001</v>
      </c>
      <c r="R26" s="26">
        <f>SUM(I26:Q26)</f>
        <v>2976.73</v>
      </c>
      <c r="S26" s="24"/>
      <c r="T26" s="32">
        <f>B26+24</f>
        <v>69</v>
      </c>
    </row>
    <row r="27" s="10" customFormat="1" ht="16.5" customHeight="1" spans="1:21">
      <c r="A27" s="21"/>
      <c r="B27" s="6"/>
      <c r="C27" s="5" t="s">
        <v>31</v>
      </c>
      <c r="D27" s="22">
        <v>605832.92</v>
      </c>
      <c r="E27" s="22">
        <v>730479.09</v>
      </c>
      <c r="F27" s="22">
        <v>165478.11</v>
      </c>
      <c r="G27" s="22">
        <v>2976.73</v>
      </c>
      <c r="H27" s="22">
        <v>1504766.85</v>
      </c>
      <c r="I27" s="20"/>
      <c r="J27" s="20"/>
      <c r="K27" s="20"/>
      <c r="L27" s="20"/>
      <c r="M27" s="20"/>
      <c r="N27" s="20"/>
      <c r="O27" s="20"/>
      <c r="P27" s="26"/>
      <c r="Q27" s="26"/>
      <c r="R27" s="26"/>
      <c r="S27" s="24" t="e">
        <f>SUM(#REF!)</f>
        <v>#REF!</v>
      </c>
      <c r="T27" s="32">
        <f>B27+24</f>
        <v>24</v>
      </c>
      <c r="U27" s="11">
        <v>21</v>
      </c>
    </row>
    <row r="28" s="10" customFormat="1" ht="16.5" customHeight="1" spans="1:21">
      <c r="A28" s="21"/>
      <c r="B28" s="6"/>
      <c r="C28" s="5" t="s">
        <v>32</v>
      </c>
      <c r="D28" s="22">
        <v>2378056.47</v>
      </c>
      <c r="E28" s="22">
        <v>2852584.28</v>
      </c>
      <c r="F28" s="22">
        <v>662780.11</v>
      </c>
      <c r="G28" s="22">
        <v>12143.07</v>
      </c>
      <c r="H28" s="23">
        <v>5905563.93</v>
      </c>
      <c r="I28" s="20"/>
      <c r="J28" s="20"/>
      <c r="K28" s="20"/>
      <c r="L28" s="20"/>
      <c r="M28" s="20"/>
      <c r="N28" s="20"/>
      <c r="O28" s="20"/>
      <c r="P28" s="26"/>
      <c r="Q28" s="26"/>
      <c r="R28" s="26"/>
      <c r="S28" s="24" t="e">
        <f>SUM(#REF!)</f>
        <v>#REF!</v>
      </c>
      <c r="T28" s="32">
        <f>B28+24</f>
        <v>24</v>
      </c>
      <c r="U28" s="11">
        <v>22</v>
      </c>
    </row>
    <row r="29" ht="16.5" customHeight="1" spans="1:23">
      <c r="A29" s="6">
        <v>5</v>
      </c>
      <c r="B29" s="6">
        <v>59</v>
      </c>
      <c r="C29" s="18" t="s">
        <v>27</v>
      </c>
      <c r="D29" s="19">
        <v>569660.1</v>
      </c>
      <c r="E29" s="19"/>
      <c r="F29" s="19"/>
      <c r="G29" s="19"/>
      <c r="H29" s="20">
        <v>569660.1</v>
      </c>
      <c r="I29" s="20">
        <f>H29*0.11</f>
        <v>62662.611</v>
      </c>
      <c r="J29" s="20">
        <f>H29*0.1</f>
        <v>56966.01</v>
      </c>
      <c r="K29" s="20">
        <f>H29*0.12</f>
        <v>68359.212</v>
      </c>
      <c r="L29" s="20">
        <f>H29*0.13</f>
        <v>74055.813</v>
      </c>
      <c r="M29" s="20">
        <f>H29*0.103</f>
        <v>58674.9903</v>
      </c>
      <c r="N29" s="20">
        <f>H29*0.112</f>
        <v>63801.9312</v>
      </c>
      <c r="O29" s="20">
        <f>H29*0.104</f>
        <v>59244.6504</v>
      </c>
      <c r="P29" s="26">
        <f>H29*0.113</f>
        <v>64371.5913</v>
      </c>
      <c r="Q29" s="26">
        <f>H29-I29-J29-K29-L29-M29-N29-O29-P29</f>
        <v>61523.2908</v>
      </c>
      <c r="R29" s="26">
        <f>SUM(I29:Q29)</f>
        <v>569660.1</v>
      </c>
      <c r="S29" s="24" t="e">
        <f>SUM(#REF!)</f>
        <v>#REF!</v>
      </c>
      <c r="T29" s="32">
        <f>B29+24</f>
        <v>83</v>
      </c>
      <c r="U29" s="11">
        <v>23</v>
      </c>
      <c r="W29" s="11">
        <v>5</v>
      </c>
    </row>
    <row r="30" ht="16.5" customHeight="1" spans="1:22">
      <c r="A30" s="6">
        <v>5</v>
      </c>
      <c r="B30" s="6">
        <v>99</v>
      </c>
      <c r="C30" s="18" t="s">
        <v>28</v>
      </c>
      <c r="D30" s="19"/>
      <c r="E30" s="19">
        <v>695362.73</v>
      </c>
      <c r="F30" s="19"/>
      <c r="G30" s="19"/>
      <c r="H30" s="20">
        <v>695362.73</v>
      </c>
      <c r="I30" s="20">
        <f>H30*0.11</f>
        <v>76489.9003</v>
      </c>
      <c r="J30" s="20">
        <f>H30*0.1</f>
        <v>69536.273</v>
      </c>
      <c r="K30" s="20">
        <f>H30*0.12</f>
        <v>83443.5276</v>
      </c>
      <c r="L30" s="20">
        <f>H30*0.13</f>
        <v>90397.1549</v>
      </c>
      <c r="M30" s="20">
        <f>H30*0.103</f>
        <v>71622.36119</v>
      </c>
      <c r="N30" s="20">
        <f>H30*0.112</f>
        <v>77880.62576</v>
      </c>
      <c r="O30" s="20">
        <f>H30*0.104</f>
        <v>72317.72392</v>
      </c>
      <c r="P30" s="26">
        <f>H30*0.113</f>
        <v>78575.98849</v>
      </c>
      <c r="Q30" s="26">
        <f>H30-I30-J30-K30-L30-M30-N30-O30-P30</f>
        <v>75099.17484</v>
      </c>
      <c r="R30" s="26">
        <f>SUM(I30:Q30)</f>
        <v>695362.73</v>
      </c>
      <c r="S30" s="24" t="e">
        <f>SUM(#REF!)</f>
        <v>#REF!</v>
      </c>
      <c r="T30" s="32">
        <f>B30+24</f>
        <v>123</v>
      </c>
      <c r="U30" s="11">
        <v>24</v>
      </c>
      <c r="V30" s="11">
        <v>5</v>
      </c>
    </row>
    <row r="31" ht="16.5" customHeight="1" spans="1:24">
      <c r="A31" s="6">
        <v>5</v>
      </c>
      <c r="B31" s="6">
        <v>65</v>
      </c>
      <c r="C31" s="18" t="s">
        <v>29</v>
      </c>
      <c r="D31" s="19"/>
      <c r="E31" s="19"/>
      <c r="F31" s="19">
        <v>164708.82</v>
      </c>
      <c r="G31" s="19"/>
      <c r="H31" s="20">
        <v>164708.82</v>
      </c>
      <c r="I31" s="20">
        <f>H31*0.11</f>
        <v>18117.9702</v>
      </c>
      <c r="J31" s="20">
        <f>H31*0.1</f>
        <v>16470.882</v>
      </c>
      <c r="K31" s="20">
        <f>H31*0.12</f>
        <v>19765.0584</v>
      </c>
      <c r="L31" s="20">
        <f>H31*0.13</f>
        <v>21412.1466</v>
      </c>
      <c r="M31" s="20">
        <f>H31*0.103</f>
        <v>16965.00846</v>
      </c>
      <c r="N31" s="20">
        <f>H31*0.112</f>
        <v>18447.38784</v>
      </c>
      <c r="O31" s="20">
        <f>H31*0.104</f>
        <v>17129.71728</v>
      </c>
      <c r="P31" s="26">
        <f>H31*0.113</f>
        <v>18612.09666</v>
      </c>
      <c r="Q31" s="26">
        <f>H31-I31-J31-K31-L31-M31-N31-O31-P31</f>
        <v>17788.55256</v>
      </c>
      <c r="R31" s="26">
        <f>SUM(I31:Q31)</f>
        <v>164708.82</v>
      </c>
      <c r="S31" s="24" t="e">
        <f>SUM(#REF!)</f>
        <v>#REF!</v>
      </c>
      <c r="T31" s="32">
        <f>B31+24</f>
        <v>89</v>
      </c>
      <c r="U31" s="11">
        <v>25</v>
      </c>
      <c r="X31" s="11">
        <v>5</v>
      </c>
    </row>
    <row r="32" ht="16.5" customHeight="1" spans="1:20">
      <c r="A32" s="6">
        <v>5</v>
      </c>
      <c r="B32" s="6">
        <v>45</v>
      </c>
      <c r="C32" s="18" t="s">
        <v>30</v>
      </c>
      <c r="D32" s="19"/>
      <c r="E32" s="19"/>
      <c r="F32" s="19"/>
      <c r="G32" s="19">
        <v>3187.88</v>
      </c>
      <c r="H32" s="20">
        <v>3187.88</v>
      </c>
      <c r="I32" s="20">
        <f>H32*0.11</f>
        <v>350.6668</v>
      </c>
      <c r="J32" s="20">
        <f>H32*0.1</f>
        <v>318.788</v>
      </c>
      <c r="K32" s="20">
        <f>H32*0.12</f>
        <v>382.5456</v>
      </c>
      <c r="L32" s="20">
        <f>H32*0.13</f>
        <v>414.4244</v>
      </c>
      <c r="M32" s="20">
        <f>H32*0.103</f>
        <v>328.35164</v>
      </c>
      <c r="N32" s="20">
        <f>H32*0.112</f>
        <v>357.04256</v>
      </c>
      <c r="O32" s="20">
        <f>H32*0.104</f>
        <v>331.53952</v>
      </c>
      <c r="P32" s="26">
        <f>H32*0.113</f>
        <v>360.23044</v>
      </c>
      <c r="Q32" s="26">
        <f>H32-I32-J32-K32-L32-M32-N32-O32-P32</f>
        <v>344.29104</v>
      </c>
      <c r="R32" s="26">
        <f>SUM(I32:Q32)</f>
        <v>3187.88</v>
      </c>
      <c r="S32" s="24"/>
      <c r="T32" s="32">
        <f>B32+24</f>
        <v>69</v>
      </c>
    </row>
    <row r="33" s="9" customFormat="1" ht="16.5" customHeight="1" spans="1:25">
      <c r="A33" s="21"/>
      <c r="B33" s="6"/>
      <c r="C33" s="5" t="s">
        <v>31</v>
      </c>
      <c r="D33" s="22">
        <v>569660.1</v>
      </c>
      <c r="E33" s="22">
        <v>695362.73</v>
      </c>
      <c r="F33" s="22">
        <v>164708.82</v>
      </c>
      <c r="G33" s="22">
        <v>3187.88</v>
      </c>
      <c r="H33" s="22">
        <v>1432919.53</v>
      </c>
      <c r="I33" s="20"/>
      <c r="J33" s="20"/>
      <c r="K33" s="20"/>
      <c r="L33" s="20"/>
      <c r="M33" s="20"/>
      <c r="N33" s="20"/>
      <c r="O33" s="20"/>
      <c r="P33" s="26"/>
      <c r="Q33" s="26"/>
      <c r="R33" s="26"/>
      <c r="S33" s="24" t="e">
        <f>SUM(#REF!)</f>
        <v>#REF!</v>
      </c>
      <c r="T33" s="32">
        <f>B33+24</f>
        <v>24</v>
      </c>
      <c r="U33" s="11">
        <v>26</v>
      </c>
      <c r="V33" s="10"/>
      <c r="W33" s="10"/>
      <c r="X33" s="10"/>
      <c r="Y33" s="10"/>
    </row>
    <row r="34" s="9" customFormat="1" ht="16.5" customHeight="1" spans="1:25">
      <c r="A34" s="21"/>
      <c r="B34" s="6"/>
      <c r="C34" s="5" t="s">
        <v>32</v>
      </c>
      <c r="D34" s="22">
        <v>2947716.57</v>
      </c>
      <c r="E34" s="22">
        <v>3547947.01</v>
      </c>
      <c r="F34" s="22">
        <v>827488.93</v>
      </c>
      <c r="G34" s="22">
        <v>15330.95</v>
      </c>
      <c r="H34" s="23">
        <v>7338483.46</v>
      </c>
      <c r="I34" s="20"/>
      <c r="J34" s="20"/>
      <c r="K34" s="20"/>
      <c r="L34" s="20"/>
      <c r="M34" s="20"/>
      <c r="N34" s="20"/>
      <c r="O34" s="20"/>
      <c r="P34" s="26"/>
      <c r="Q34" s="26"/>
      <c r="R34" s="26"/>
      <c r="S34" s="24" t="e">
        <f>SUM(#REF!)</f>
        <v>#REF!</v>
      </c>
      <c r="T34" s="32">
        <f>B34+24</f>
        <v>24</v>
      </c>
      <c r="U34" s="11">
        <v>27</v>
      </c>
      <c r="V34" s="10"/>
      <c r="W34" s="10"/>
      <c r="X34" s="10"/>
      <c r="Y34" s="10"/>
    </row>
    <row r="35" ht="16.5" customHeight="1" spans="1:23">
      <c r="A35" s="6">
        <v>6</v>
      </c>
      <c r="B35" s="6">
        <v>63</v>
      </c>
      <c r="C35" s="18" t="s">
        <v>27</v>
      </c>
      <c r="D35" s="19">
        <v>567481.51</v>
      </c>
      <c r="E35" s="19"/>
      <c r="F35" s="19"/>
      <c r="G35" s="19"/>
      <c r="H35" s="20">
        <v>567481.51</v>
      </c>
      <c r="I35" s="20">
        <f>H35*0.11</f>
        <v>62422.9661</v>
      </c>
      <c r="J35" s="20">
        <f>H35*0.1</f>
        <v>56748.151</v>
      </c>
      <c r="K35" s="20">
        <f>H35*0.12</f>
        <v>68097.7812</v>
      </c>
      <c r="L35" s="20">
        <f>H35*0.13</f>
        <v>73772.5963</v>
      </c>
      <c r="M35" s="20">
        <f>H35*0.103</f>
        <v>58450.59553</v>
      </c>
      <c r="N35" s="20">
        <f>H35*0.112</f>
        <v>63557.92912</v>
      </c>
      <c r="O35" s="20">
        <f>H35*0.104</f>
        <v>59018.07704</v>
      </c>
      <c r="P35" s="26">
        <f>H35*0.113</f>
        <v>64125.41063</v>
      </c>
      <c r="Q35" s="26">
        <f>H35-I35-J35-K35-L35-M35-N35-O35-P35</f>
        <v>61288.00308</v>
      </c>
      <c r="R35" s="26">
        <f>SUM(I35:Q35)</f>
        <v>567481.51</v>
      </c>
      <c r="S35" s="24" t="e">
        <f>SUM(#REF!)</f>
        <v>#REF!</v>
      </c>
      <c r="T35" s="32">
        <f>B35+24</f>
        <v>87</v>
      </c>
      <c r="U35" s="11">
        <v>28</v>
      </c>
      <c r="W35" s="11">
        <v>6</v>
      </c>
    </row>
    <row r="36" ht="16.5" customHeight="1" spans="1:22">
      <c r="A36" s="6">
        <v>6</v>
      </c>
      <c r="B36" s="6">
        <v>95</v>
      </c>
      <c r="C36" s="18" t="s">
        <v>28</v>
      </c>
      <c r="D36" s="19"/>
      <c r="E36" s="19">
        <v>742818.36</v>
      </c>
      <c r="F36" s="19"/>
      <c r="G36" s="19"/>
      <c r="H36" s="20">
        <v>742818.36</v>
      </c>
      <c r="I36" s="20">
        <f>H36*0.11</f>
        <v>81710.0196</v>
      </c>
      <c r="J36" s="20">
        <f>H36*0.1</f>
        <v>74281.836</v>
      </c>
      <c r="K36" s="20">
        <f>H36*0.12</f>
        <v>89138.2032</v>
      </c>
      <c r="L36" s="20">
        <f>H36*0.13</f>
        <v>96566.3868</v>
      </c>
      <c r="M36" s="20">
        <f>H36*0.103</f>
        <v>76510.29108</v>
      </c>
      <c r="N36" s="20">
        <f>H36*0.112</f>
        <v>83195.65632</v>
      </c>
      <c r="O36" s="20">
        <f>H36*0.104</f>
        <v>77253.10944</v>
      </c>
      <c r="P36" s="26">
        <f>H36*0.113</f>
        <v>83938.47468</v>
      </c>
      <c r="Q36" s="26">
        <f>H36-I36-J36-K36-L36-M36-N36-O36-P36</f>
        <v>80224.38288</v>
      </c>
      <c r="R36" s="26">
        <f>SUM(I36:Q36)</f>
        <v>742818.36</v>
      </c>
      <c r="S36" s="24" t="e">
        <f>SUM(#REF!)</f>
        <v>#REF!</v>
      </c>
      <c r="T36" s="32">
        <f>B36+24</f>
        <v>119</v>
      </c>
      <c r="U36" s="11">
        <v>29</v>
      </c>
      <c r="V36" s="11">
        <v>6</v>
      </c>
    </row>
    <row r="37" ht="16.5" customHeight="1" spans="1:24">
      <c r="A37" s="6">
        <v>6</v>
      </c>
      <c r="B37" s="6">
        <v>99</v>
      </c>
      <c r="C37" s="18" t="s">
        <v>29</v>
      </c>
      <c r="D37" s="19"/>
      <c r="E37" s="19"/>
      <c r="F37" s="19">
        <v>160836.26</v>
      </c>
      <c r="G37" s="19"/>
      <c r="H37" s="20">
        <v>160836.26</v>
      </c>
      <c r="I37" s="20">
        <f>H37*0.11</f>
        <v>17691.9886</v>
      </c>
      <c r="J37" s="20">
        <f>H37*0.1</f>
        <v>16083.626</v>
      </c>
      <c r="K37" s="20">
        <f>H37*0.12</f>
        <v>19300.3512</v>
      </c>
      <c r="L37" s="20">
        <f>H37*0.13</f>
        <v>20908.7138</v>
      </c>
      <c r="M37" s="20">
        <f>H37*0.103</f>
        <v>16566.13478</v>
      </c>
      <c r="N37" s="20">
        <f>H37*0.112</f>
        <v>18013.66112</v>
      </c>
      <c r="O37" s="20">
        <f>H37*0.104</f>
        <v>16726.97104</v>
      </c>
      <c r="P37" s="26">
        <f>H37*0.113</f>
        <v>18174.49738</v>
      </c>
      <c r="Q37" s="26">
        <f>H37-I37-J37-K37-L37-M37-N37-O37-P37</f>
        <v>17370.31608</v>
      </c>
      <c r="R37" s="26">
        <f>SUM(I37:Q37)</f>
        <v>160836.26</v>
      </c>
      <c r="S37" s="24" t="e">
        <f>SUM(#REF!)</f>
        <v>#REF!</v>
      </c>
      <c r="T37" s="32">
        <f>B37+24</f>
        <v>123</v>
      </c>
      <c r="U37" s="11">
        <v>30</v>
      </c>
      <c r="X37" s="11">
        <v>6</v>
      </c>
    </row>
    <row r="38" ht="16.5" customHeight="1" spans="1:20">
      <c r="A38" s="6">
        <v>6</v>
      </c>
      <c r="B38" s="6">
        <v>45</v>
      </c>
      <c r="C38" s="18" t="s">
        <v>30</v>
      </c>
      <c r="D38" s="19"/>
      <c r="E38" s="19"/>
      <c r="F38" s="19"/>
      <c r="G38" s="19">
        <v>3001.05</v>
      </c>
      <c r="H38" s="20">
        <v>3001.05</v>
      </c>
      <c r="I38" s="20">
        <f t="shared" ref="I38:I68" si="11">H38*0.11</f>
        <v>330.1155</v>
      </c>
      <c r="J38" s="20">
        <f t="shared" ref="J38:J68" si="12">H38*0.1</f>
        <v>300.105</v>
      </c>
      <c r="K38" s="20">
        <f t="shared" ref="K38:K68" si="13">H38*0.12</f>
        <v>360.126</v>
      </c>
      <c r="L38" s="20">
        <f t="shared" ref="L38:L68" si="14">H38*0.13</f>
        <v>390.1365</v>
      </c>
      <c r="M38" s="20">
        <f t="shared" ref="M38:M68" si="15">H38*0.103</f>
        <v>309.10815</v>
      </c>
      <c r="N38" s="20">
        <f t="shared" ref="N38:N68" si="16">H38*0.112</f>
        <v>336.1176</v>
      </c>
      <c r="O38" s="20">
        <f t="shared" ref="O38:O68" si="17">H38*0.104</f>
        <v>312.1092</v>
      </c>
      <c r="P38" s="26">
        <f t="shared" ref="P38:P68" si="18">H38*0.113</f>
        <v>339.11865</v>
      </c>
      <c r="Q38" s="26">
        <f t="shared" ref="Q38:Q68" si="19">H38-I38-J38-K38-L38-M38-N38-O38-P38</f>
        <v>324.1134</v>
      </c>
      <c r="R38" s="26">
        <f>SUM(I38:Q38)</f>
        <v>3001.05</v>
      </c>
      <c r="S38" s="24"/>
      <c r="T38" s="32">
        <f t="shared" ref="T38:T76" si="20">B38+24</f>
        <v>69</v>
      </c>
    </row>
    <row r="39" s="9" customFormat="1" ht="16.5" customHeight="1" spans="1:25">
      <c r="A39" s="21"/>
      <c r="B39" s="6"/>
      <c r="C39" s="5" t="s">
        <v>31</v>
      </c>
      <c r="D39" s="22">
        <v>567481.51</v>
      </c>
      <c r="E39" s="22">
        <v>742818.36</v>
      </c>
      <c r="F39" s="22">
        <v>160836.26</v>
      </c>
      <c r="G39" s="22">
        <v>3001.05</v>
      </c>
      <c r="H39" s="22">
        <v>1474137.18</v>
      </c>
      <c r="I39" s="20"/>
      <c r="J39" s="20"/>
      <c r="K39" s="20"/>
      <c r="L39" s="20"/>
      <c r="M39" s="20"/>
      <c r="N39" s="20"/>
      <c r="O39" s="20"/>
      <c r="P39" s="26"/>
      <c r="Q39" s="26"/>
      <c r="R39" s="26"/>
      <c r="S39" s="24" t="e">
        <f>SUM(#REF!)</f>
        <v>#REF!</v>
      </c>
      <c r="T39" s="32">
        <f>B39+24</f>
        <v>24</v>
      </c>
      <c r="U39" s="11">
        <v>31</v>
      </c>
      <c r="V39" s="10"/>
      <c r="W39" s="10"/>
      <c r="X39" s="10"/>
      <c r="Y39" s="10"/>
    </row>
    <row r="40" s="9" customFormat="1" ht="16.5" customHeight="1" spans="1:25">
      <c r="A40" s="21"/>
      <c r="B40" s="6"/>
      <c r="C40" s="5" t="s">
        <v>32</v>
      </c>
      <c r="D40" s="22">
        <v>3515198.08</v>
      </c>
      <c r="E40" s="22">
        <v>4290765.37</v>
      </c>
      <c r="F40" s="22">
        <v>988325.19</v>
      </c>
      <c r="G40" s="22">
        <v>18332</v>
      </c>
      <c r="H40" s="23">
        <v>8812620.64</v>
      </c>
      <c r="I40" s="20"/>
      <c r="J40" s="20"/>
      <c r="K40" s="20"/>
      <c r="L40" s="20"/>
      <c r="M40" s="20"/>
      <c r="N40" s="20"/>
      <c r="O40" s="20"/>
      <c r="P40" s="26"/>
      <c r="Q40" s="26"/>
      <c r="R40" s="26"/>
      <c r="S40" s="24" t="e">
        <f>SUM(#REF!)</f>
        <v>#REF!</v>
      </c>
      <c r="T40" s="32">
        <f>B40+24</f>
        <v>24</v>
      </c>
      <c r="U40" s="11">
        <v>32</v>
      </c>
      <c r="V40" s="10"/>
      <c r="W40" s="10"/>
      <c r="X40" s="10"/>
      <c r="Y40" s="10"/>
    </row>
    <row r="41" ht="16.5" customHeight="1" spans="1:23">
      <c r="A41" s="6">
        <v>7</v>
      </c>
      <c r="B41" s="6">
        <v>66</v>
      </c>
      <c r="C41" s="18" t="s">
        <v>27</v>
      </c>
      <c r="D41" s="19">
        <v>598428.25</v>
      </c>
      <c r="E41" s="19"/>
      <c r="F41" s="19"/>
      <c r="G41" s="19"/>
      <c r="H41" s="20">
        <v>598428.25</v>
      </c>
      <c r="I41" s="20">
        <f>H41*0.11</f>
        <v>65827.1075</v>
      </c>
      <c r="J41" s="20">
        <f>H41*0.1</f>
        <v>59842.825</v>
      </c>
      <c r="K41" s="20">
        <f>H41*0.12</f>
        <v>71811.39</v>
      </c>
      <c r="L41" s="20">
        <f>H41*0.13</f>
        <v>77795.6725</v>
      </c>
      <c r="M41" s="20">
        <f>H41*0.103</f>
        <v>61638.10975</v>
      </c>
      <c r="N41" s="20">
        <f>H41*0.112</f>
        <v>67023.964</v>
      </c>
      <c r="O41" s="20">
        <f>H41*0.104</f>
        <v>62236.538</v>
      </c>
      <c r="P41" s="26">
        <f>H41*0.113</f>
        <v>67622.39225</v>
      </c>
      <c r="Q41" s="26">
        <f>H41-I41-J41-K41-L41-M41-N41-O41-P41</f>
        <v>64630.2509999999</v>
      </c>
      <c r="R41" s="26">
        <f>SUM(I41:Q41)</f>
        <v>598428.25</v>
      </c>
      <c r="S41" s="24" t="e">
        <f>SUM(#REF!)</f>
        <v>#REF!</v>
      </c>
      <c r="T41" s="32">
        <f>B41+24</f>
        <v>90</v>
      </c>
      <c r="U41" s="11">
        <v>33</v>
      </c>
      <c r="W41" s="11">
        <v>7</v>
      </c>
    </row>
    <row r="42" ht="16.5" customHeight="1" spans="1:22">
      <c r="A42" s="6">
        <v>7</v>
      </c>
      <c r="B42" s="6">
        <v>122</v>
      </c>
      <c r="C42" s="18" t="s">
        <v>28</v>
      </c>
      <c r="D42" s="19"/>
      <c r="E42" s="19">
        <v>716877.05</v>
      </c>
      <c r="F42" s="19"/>
      <c r="G42" s="19"/>
      <c r="H42" s="20">
        <v>716877.05</v>
      </c>
      <c r="I42" s="20">
        <f>H42*0.11</f>
        <v>78856.4755</v>
      </c>
      <c r="J42" s="20">
        <f>H42*0.1</f>
        <v>71687.705</v>
      </c>
      <c r="K42" s="20">
        <f>H42*0.12</f>
        <v>86025.246</v>
      </c>
      <c r="L42" s="20">
        <f>H42*0.13</f>
        <v>93194.0165</v>
      </c>
      <c r="M42" s="20">
        <f>H42*0.103</f>
        <v>73838.33615</v>
      </c>
      <c r="N42" s="20">
        <f>H42*0.112</f>
        <v>80290.2296</v>
      </c>
      <c r="O42" s="20">
        <f>H42*0.104</f>
        <v>74555.2132</v>
      </c>
      <c r="P42" s="26">
        <f>H42*0.113</f>
        <v>81007.10665</v>
      </c>
      <c r="Q42" s="26">
        <f>H42-I42-J42-K42-L42-M42-N42-O42-P42</f>
        <v>77422.7214000001</v>
      </c>
      <c r="R42" s="26">
        <f>SUM(I42:Q42)</f>
        <v>716877.05</v>
      </c>
      <c r="S42" s="24" t="e">
        <f>SUM(#REF!)</f>
        <v>#REF!</v>
      </c>
      <c r="T42" s="32">
        <f>B42+24</f>
        <v>146</v>
      </c>
      <c r="U42" s="11">
        <v>34</v>
      </c>
      <c r="V42" s="11">
        <v>7</v>
      </c>
    </row>
    <row r="43" ht="16.5" customHeight="1" spans="1:24">
      <c r="A43" s="6">
        <v>7</v>
      </c>
      <c r="B43" s="6">
        <v>111</v>
      </c>
      <c r="C43" s="18" t="s">
        <v>29</v>
      </c>
      <c r="D43" s="19"/>
      <c r="E43" s="19"/>
      <c r="F43" s="19">
        <v>164716.62</v>
      </c>
      <c r="G43" s="19"/>
      <c r="H43" s="20">
        <v>164716.62</v>
      </c>
      <c r="I43" s="20">
        <f>H43*0.11</f>
        <v>18118.8282</v>
      </c>
      <c r="J43" s="20">
        <f>H43*0.1</f>
        <v>16471.662</v>
      </c>
      <c r="K43" s="20">
        <f>H43*0.12</f>
        <v>19765.9944</v>
      </c>
      <c r="L43" s="20">
        <f>H43*0.13</f>
        <v>21413.1606</v>
      </c>
      <c r="M43" s="20">
        <f>H43*0.103</f>
        <v>16965.81186</v>
      </c>
      <c r="N43" s="20">
        <f>H43*0.112</f>
        <v>18448.26144</v>
      </c>
      <c r="O43" s="20">
        <f>H43*0.104</f>
        <v>17130.52848</v>
      </c>
      <c r="P43" s="26">
        <f>H43*0.113</f>
        <v>18612.97806</v>
      </c>
      <c r="Q43" s="26">
        <f>H43-I43-J43-K43-L43-M43-N43-O43-P43</f>
        <v>17789.39496</v>
      </c>
      <c r="R43" s="26">
        <f>SUM(I43:Q43)</f>
        <v>164716.62</v>
      </c>
      <c r="S43" s="24" t="e">
        <f>SUM(#REF!)</f>
        <v>#REF!</v>
      </c>
      <c r="T43" s="32">
        <f>B43+24</f>
        <v>135</v>
      </c>
      <c r="U43" s="11">
        <v>35</v>
      </c>
      <c r="X43" s="11">
        <v>7</v>
      </c>
    </row>
    <row r="44" ht="16.5" customHeight="1" spans="1:25">
      <c r="A44" s="6">
        <v>7</v>
      </c>
      <c r="B44" s="6">
        <v>107</v>
      </c>
      <c r="C44" s="18" t="s">
        <v>30</v>
      </c>
      <c r="D44" s="19"/>
      <c r="E44" s="19"/>
      <c r="F44" s="19"/>
      <c r="G44" s="19">
        <v>3155.85</v>
      </c>
      <c r="H44" s="20">
        <v>3155.85</v>
      </c>
      <c r="I44" s="20">
        <f>H44*0.11</f>
        <v>347.1435</v>
      </c>
      <c r="J44" s="20">
        <f>H44*0.1</f>
        <v>315.585</v>
      </c>
      <c r="K44" s="20">
        <f>H44*0.12</f>
        <v>378.702</v>
      </c>
      <c r="L44" s="20">
        <f>H44*0.13</f>
        <v>410.2605</v>
      </c>
      <c r="M44" s="20">
        <f>H44*0.103</f>
        <v>325.05255</v>
      </c>
      <c r="N44" s="20">
        <f>H44*0.112</f>
        <v>353.4552</v>
      </c>
      <c r="O44" s="20">
        <f>H44*0.104</f>
        <v>328.2084</v>
      </c>
      <c r="P44" s="26">
        <f>H44*0.113</f>
        <v>356.61105</v>
      </c>
      <c r="Q44" s="26">
        <f>H44-I44-J44-K44-L44-M44-N44-O44-P44</f>
        <v>340.8318</v>
      </c>
      <c r="R44" s="26">
        <f>SUM(I44:Q44)</f>
        <v>3155.85</v>
      </c>
      <c r="S44" s="24" t="e">
        <f>SUM(#REF!)</f>
        <v>#REF!</v>
      </c>
      <c r="T44" s="32">
        <f>B44+24</f>
        <v>131</v>
      </c>
      <c r="U44" s="11">
        <v>36</v>
      </c>
      <c r="Y44" s="11">
        <v>3</v>
      </c>
    </row>
    <row r="45" s="9" customFormat="1" ht="16.5" customHeight="1" spans="1:25">
      <c r="A45" s="21"/>
      <c r="B45" s="6"/>
      <c r="C45" s="5" t="s">
        <v>31</v>
      </c>
      <c r="D45" s="22">
        <v>598428.25</v>
      </c>
      <c r="E45" s="22">
        <v>716877.05</v>
      </c>
      <c r="F45" s="22">
        <v>164716.62</v>
      </c>
      <c r="G45" s="22">
        <v>3155.85</v>
      </c>
      <c r="H45" s="23">
        <v>1483177.77</v>
      </c>
      <c r="I45" s="20"/>
      <c r="J45" s="20"/>
      <c r="K45" s="20"/>
      <c r="L45" s="20"/>
      <c r="M45" s="20"/>
      <c r="N45" s="20"/>
      <c r="O45" s="20"/>
      <c r="P45" s="26"/>
      <c r="Q45" s="26"/>
      <c r="R45" s="26"/>
      <c r="S45" s="24" t="e">
        <f>SUM(#REF!)</f>
        <v>#REF!</v>
      </c>
      <c r="T45" s="32">
        <f>B45+24</f>
        <v>24</v>
      </c>
      <c r="U45" s="11">
        <v>37</v>
      </c>
      <c r="V45" s="10"/>
      <c r="W45" s="10"/>
      <c r="X45" s="10"/>
      <c r="Y45" s="10"/>
    </row>
    <row r="46" s="9" customFormat="1" ht="16.5" customHeight="1" spans="1:25">
      <c r="A46" s="21"/>
      <c r="B46" s="6"/>
      <c r="C46" s="5" t="s">
        <v>32</v>
      </c>
      <c r="D46" s="22">
        <v>4113626.33</v>
      </c>
      <c r="E46" s="22">
        <v>5007642.42</v>
      </c>
      <c r="F46" s="22">
        <v>1153041.81</v>
      </c>
      <c r="G46" s="22">
        <v>21487.85</v>
      </c>
      <c r="H46" s="23">
        <v>10295798.41</v>
      </c>
      <c r="I46" s="20"/>
      <c r="J46" s="20"/>
      <c r="K46" s="20"/>
      <c r="L46" s="20"/>
      <c r="M46" s="20"/>
      <c r="N46" s="20"/>
      <c r="O46" s="20"/>
      <c r="P46" s="26"/>
      <c r="Q46" s="26"/>
      <c r="R46" s="26"/>
      <c r="S46" s="24" t="e">
        <f>SUM(#REF!)</f>
        <v>#REF!</v>
      </c>
      <c r="T46" s="32">
        <f>B46+24</f>
        <v>24</v>
      </c>
      <c r="U46" s="11">
        <v>38</v>
      </c>
      <c r="V46" s="10"/>
      <c r="W46" s="10"/>
      <c r="X46" s="10"/>
      <c r="Y46" s="10"/>
    </row>
    <row r="47" ht="16.5" customHeight="1" spans="1:23">
      <c r="A47" s="6">
        <v>8</v>
      </c>
      <c r="B47" s="6">
        <v>72</v>
      </c>
      <c r="C47" s="18" t="s">
        <v>27</v>
      </c>
      <c r="D47" s="19">
        <v>572078.99</v>
      </c>
      <c r="E47" s="19"/>
      <c r="F47" s="19"/>
      <c r="G47" s="19"/>
      <c r="H47" s="20">
        <v>572078.99</v>
      </c>
      <c r="I47" s="20">
        <f>H47*0.11</f>
        <v>62928.6889</v>
      </c>
      <c r="J47" s="20">
        <f>H47*0.1</f>
        <v>57207.899</v>
      </c>
      <c r="K47" s="20">
        <f>H47*0.12</f>
        <v>68649.4788</v>
      </c>
      <c r="L47" s="20">
        <f>H47*0.13</f>
        <v>74370.2687</v>
      </c>
      <c r="M47" s="20">
        <f>H47*0.103</f>
        <v>58924.13597</v>
      </c>
      <c r="N47" s="20">
        <f>H47*0.112</f>
        <v>64072.84688</v>
      </c>
      <c r="O47" s="20">
        <f>H47*0.104</f>
        <v>59496.21496</v>
      </c>
      <c r="P47" s="26">
        <f>H47*0.113</f>
        <v>64644.92587</v>
      </c>
      <c r="Q47" s="26">
        <f>H47-I47-J47-K47-L47-M47-N47-O47-P47</f>
        <v>61784.53092</v>
      </c>
      <c r="R47" s="26">
        <f>SUM(I47:Q47)</f>
        <v>572078.99</v>
      </c>
      <c r="S47" s="24" t="e">
        <f>SUM(#REF!)</f>
        <v>#REF!</v>
      </c>
      <c r="T47" s="32">
        <f>B47+24</f>
        <v>96</v>
      </c>
      <c r="U47" s="11">
        <v>39</v>
      </c>
      <c r="W47" s="11">
        <v>8</v>
      </c>
    </row>
    <row r="48" ht="16.5" customHeight="1" spans="1:22">
      <c r="A48" s="6">
        <v>8</v>
      </c>
      <c r="B48" s="6">
        <v>109</v>
      </c>
      <c r="C48" s="18" t="s">
        <v>28</v>
      </c>
      <c r="D48" s="19"/>
      <c r="E48" s="19">
        <v>706989.41</v>
      </c>
      <c r="F48" s="19"/>
      <c r="G48" s="19"/>
      <c r="H48" s="20">
        <v>706989.41</v>
      </c>
      <c r="I48" s="20">
        <f>H48*0.11</f>
        <v>77768.8351</v>
      </c>
      <c r="J48" s="20">
        <f>H48*0.1</f>
        <v>70698.941</v>
      </c>
      <c r="K48" s="20">
        <f>H48*0.12</f>
        <v>84838.7292</v>
      </c>
      <c r="L48" s="20">
        <f>H48*0.13</f>
        <v>91908.6233</v>
      </c>
      <c r="M48" s="20">
        <f>H48*0.103</f>
        <v>72819.90923</v>
      </c>
      <c r="N48" s="20">
        <f>H48*0.112</f>
        <v>79182.81392</v>
      </c>
      <c r="O48" s="20">
        <f>H48*0.104</f>
        <v>73526.89864</v>
      </c>
      <c r="P48" s="26">
        <f>H48*0.113</f>
        <v>79889.80333</v>
      </c>
      <c r="Q48" s="26">
        <f>H48-I48-J48-K48-L48-M48-N48-O48-P48</f>
        <v>76354.85628</v>
      </c>
      <c r="R48" s="26">
        <f>SUM(I48:Q48)</f>
        <v>706989.41</v>
      </c>
      <c r="S48" s="24" t="e">
        <f>SUM(#REF!)</f>
        <v>#REF!</v>
      </c>
      <c r="T48" s="32">
        <f>B48+24</f>
        <v>133</v>
      </c>
      <c r="U48" s="11">
        <v>40</v>
      </c>
      <c r="V48" s="11">
        <v>8</v>
      </c>
    </row>
    <row r="49" ht="16.5" customHeight="1" spans="1:24">
      <c r="A49" s="6">
        <v>8</v>
      </c>
      <c r="B49" s="6">
        <v>78</v>
      </c>
      <c r="C49" s="18" t="s">
        <v>29</v>
      </c>
      <c r="D49" s="19"/>
      <c r="E49" s="19"/>
      <c r="F49" s="19">
        <v>171954.12</v>
      </c>
      <c r="G49" s="19"/>
      <c r="H49" s="20">
        <v>171954.12</v>
      </c>
      <c r="I49" s="20">
        <f>H49*0.11</f>
        <v>18914.9532</v>
      </c>
      <c r="J49" s="20">
        <f>H49*0.1</f>
        <v>17195.412</v>
      </c>
      <c r="K49" s="20">
        <f>H49*0.12</f>
        <v>20634.4944</v>
      </c>
      <c r="L49" s="20">
        <f>H49*0.13</f>
        <v>22354.0356</v>
      </c>
      <c r="M49" s="20">
        <f>H49*0.103</f>
        <v>17711.27436</v>
      </c>
      <c r="N49" s="20">
        <f>H49*0.112</f>
        <v>19258.86144</v>
      </c>
      <c r="O49" s="20">
        <f>H49*0.104</f>
        <v>17883.22848</v>
      </c>
      <c r="P49" s="26">
        <f>H49*0.113</f>
        <v>19430.81556</v>
      </c>
      <c r="Q49" s="26">
        <f>H49-I49-J49-K49-L49-M49-N49-O49-P49</f>
        <v>18571.04496</v>
      </c>
      <c r="R49" s="26">
        <f>SUM(I49:Q49)</f>
        <v>171954.12</v>
      </c>
      <c r="S49" s="24" t="e">
        <f>SUM(#REF!)</f>
        <v>#REF!</v>
      </c>
      <c r="T49" s="32">
        <f>B49+24</f>
        <v>102</v>
      </c>
      <c r="U49" s="11">
        <v>41</v>
      </c>
      <c r="X49" s="11">
        <v>8</v>
      </c>
    </row>
    <row r="50" ht="16.5" customHeight="1" spans="1:20">
      <c r="A50" s="6">
        <v>8</v>
      </c>
      <c r="B50" s="6">
        <v>45</v>
      </c>
      <c r="C50" s="18" t="s">
        <v>30</v>
      </c>
      <c r="D50" s="19"/>
      <c r="E50" s="19"/>
      <c r="F50" s="19"/>
      <c r="G50" s="19">
        <v>3084.68</v>
      </c>
      <c r="H50" s="20">
        <v>3084.68</v>
      </c>
      <c r="I50" s="20">
        <f>H50*0.11</f>
        <v>339.3148</v>
      </c>
      <c r="J50" s="20">
        <f>H50*0.1</f>
        <v>308.468</v>
      </c>
      <c r="K50" s="20">
        <f>H50*0.12</f>
        <v>370.1616</v>
      </c>
      <c r="L50" s="20">
        <f>H50*0.13</f>
        <v>401.0084</v>
      </c>
      <c r="M50" s="20">
        <f>H50*0.103</f>
        <v>317.72204</v>
      </c>
      <c r="N50" s="20">
        <f>H50*0.112</f>
        <v>345.48416</v>
      </c>
      <c r="O50" s="20">
        <f>H50*0.104</f>
        <v>320.80672</v>
      </c>
      <c r="P50" s="26">
        <f>H50*0.113</f>
        <v>348.56884</v>
      </c>
      <c r="Q50" s="26">
        <f>H50-I50-J50-K50-L50-M50-N50-O50-P50</f>
        <v>333.14544</v>
      </c>
      <c r="R50" s="26">
        <f>SUM(I50:Q50)</f>
        <v>3084.68</v>
      </c>
      <c r="S50" s="24"/>
      <c r="T50" s="32">
        <f>B50+24</f>
        <v>69</v>
      </c>
    </row>
    <row r="51" s="9" customFormat="1" ht="16.5" customHeight="1" spans="1:25">
      <c r="A51" s="21"/>
      <c r="B51" s="6"/>
      <c r="C51" s="5" t="s">
        <v>31</v>
      </c>
      <c r="D51" s="22">
        <v>572078.99</v>
      </c>
      <c r="E51" s="22">
        <v>706989.41</v>
      </c>
      <c r="F51" s="22">
        <v>171954.12</v>
      </c>
      <c r="G51" s="22">
        <v>3084.68</v>
      </c>
      <c r="H51" s="22">
        <v>1454107.2</v>
      </c>
      <c r="I51" s="20"/>
      <c r="J51" s="20"/>
      <c r="K51" s="20"/>
      <c r="L51" s="20"/>
      <c r="M51" s="20"/>
      <c r="N51" s="20"/>
      <c r="O51" s="20"/>
      <c r="P51" s="26"/>
      <c r="Q51" s="26"/>
      <c r="R51" s="26"/>
      <c r="S51" s="24" t="e">
        <f>SUM(#REF!)</f>
        <v>#REF!</v>
      </c>
      <c r="T51" s="32">
        <f>B51+24</f>
        <v>24</v>
      </c>
      <c r="U51" s="11">
        <v>42</v>
      </c>
      <c r="V51" s="11"/>
      <c r="W51" s="10"/>
      <c r="X51" s="10"/>
      <c r="Y51" s="10"/>
    </row>
    <row r="52" s="9" customFormat="1" ht="16.5" customHeight="1" spans="1:25">
      <c r="A52" s="21"/>
      <c r="B52" s="6"/>
      <c r="C52" s="5" t="s">
        <v>32</v>
      </c>
      <c r="D52" s="22">
        <v>4685705.32</v>
      </c>
      <c r="E52" s="22">
        <v>5714631.83</v>
      </c>
      <c r="F52" s="22">
        <v>1324995.93</v>
      </c>
      <c r="G52" s="22">
        <v>24572.53</v>
      </c>
      <c r="H52" s="23">
        <v>11749905.61</v>
      </c>
      <c r="I52" s="20"/>
      <c r="J52" s="20"/>
      <c r="K52" s="20"/>
      <c r="L52" s="20"/>
      <c r="M52" s="20"/>
      <c r="N52" s="20"/>
      <c r="O52" s="20"/>
      <c r="P52" s="26"/>
      <c r="Q52" s="26"/>
      <c r="R52" s="26"/>
      <c r="S52" s="24" t="e">
        <f>SUM(#REF!)</f>
        <v>#REF!</v>
      </c>
      <c r="T52" s="32">
        <f>B52+24</f>
        <v>24</v>
      </c>
      <c r="U52" s="11">
        <v>43</v>
      </c>
      <c r="V52" s="11"/>
      <c r="W52" s="10"/>
      <c r="X52" s="10"/>
      <c r="Y52" s="10"/>
    </row>
    <row r="53" s="9" customFormat="1" ht="16.5" customHeight="1" spans="1:25">
      <c r="A53" s="6">
        <v>9</v>
      </c>
      <c r="B53" s="6">
        <v>76</v>
      </c>
      <c r="C53" s="18" t="s">
        <v>27</v>
      </c>
      <c r="D53" s="19">
        <v>565422.21</v>
      </c>
      <c r="E53" s="19"/>
      <c r="F53" s="19"/>
      <c r="G53" s="19"/>
      <c r="H53" s="20">
        <v>565422.21</v>
      </c>
      <c r="I53" s="20">
        <f>H53*0.11</f>
        <v>62196.4431</v>
      </c>
      <c r="J53" s="20">
        <f>H53*0.1</f>
        <v>56542.221</v>
      </c>
      <c r="K53" s="20">
        <f>H53*0.12</f>
        <v>67850.6652</v>
      </c>
      <c r="L53" s="20">
        <f>H53*0.13</f>
        <v>73504.8873</v>
      </c>
      <c r="M53" s="20">
        <f>H53*0.103</f>
        <v>58238.48763</v>
      </c>
      <c r="N53" s="20">
        <f>H53*0.112</f>
        <v>63327.28752</v>
      </c>
      <c r="O53" s="20">
        <f>H53*0.104</f>
        <v>58803.90984</v>
      </c>
      <c r="P53" s="26">
        <f>H53*0.113</f>
        <v>63892.70973</v>
      </c>
      <c r="Q53" s="26">
        <f>H53-I53-J53-K53-L53-M53-N53-O53-P53</f>
        <v>61065.59868</v>
      </c>
      <c r="R53" s="26">
        <f>SUM(I53:Q53)</f>
        <v>565422.21</v>
      </c>
      <c r="S53" s="24" t="e">
        <f>SUM(#REF!)</f>
        <v>#REF!</v>
      </c>
      <c r="T53" s="32">
        <f>B53+24</f>
        <v>100</v>
      </c>
      <c r="U53" s="11">
        <v>44</v>
      </c>
      <c r="V53" s="11"/>
      <c r="W53" s="11">
        <v>9</v>
      </c>
      <c r="X53" s="10"/>
      <c r="Y53" s="10"/>
    </row>
    <row r="54" s="9" customFormat="1" ht="16.5" customHeight="1" spans="1:25">
      <c r="A54" s="6">
        <v>9</v>
      </c>
      <c r="B54" s="6">
        <v>119</v>
      </c>
      <c r="C54" s="18" t="s">
        <v>28</v>
      </c>
      <c r="D54" s="19"/>
      <c r="E54" s="19">
        <v>760718.55</v>
      </c>
      <c r="F54" s="19"/>
      <c r="G54" s="19"/>
      <c r="H54" s="20">
        <v>760718.55</v>
      </c>
      <c r="I54" s="20">
        <f>H54*0.11</f>
        <v>83679.0405</v>
      </c>
      <c r="J54" s="20">
        <f>H54*0.1</f>
        <v>76071.855</v>
      </c>
      <c r="K54" s="20">
        <f>H54*0.12</f>
        <v>91286.226</v>
      </c>
      <c r="L54" s="20">
        <f>H54*0.13</f>
        <v>98893.4115</v>
      </c>
      <c r="M54" s="20">
        <f>H54*0.103</f>
        <v>78354.01065</v>
      </c>
      <c r="N54" s="20">
        <f>H54*0.112</f>
        <v>85200.4776</v>
      </c>
      <c r="O54" s="20">
        <f>H54*0.104</f>
        <v>79114.7292</v>
      </c>
      <c r="P54" s="26">
        <f>H54*0.113</f>
        <v>85961.19615</v>
      </c>
      <c r="Q54" s="26">
        <f>H54-I54-J54-K54-L54-M54-N54-O54-P54</f>
        <v>82157.6034</v>
      </c>
      <c r="R54" s="26">
        <f>SUM(I54:Q54)</f>
        <v>760718.55</v>
      </c>
      <c r="S54" s="24" t="e">
        <f>SUM(#REF!)</f>
        <v>#REF!</v>
      </c>
      <c r="T54" s="32">
        <f>B54+24</f>
        <v>143</v>
      </c>
      <c r="U54" s="11">
        <v>45</v>
      </c>
      <c r="V54" s="11">
        <v>9</v>
      </c>
      <c r="W54" s="10"/>
      <c r="X54" s="10"/>
      <c r="Y54" s="10"/>
    </row>
    <row r="55" s="9" customFormat="1" ht="16.5" customHeight="1" spans="1:25">
      <c r="A55" s="6">
        <v>9</v>
      </c>
      <c r="B55" s="6">
        <v>88</v>
      </c>
      <c r="C55" s="18" t="s">
        <v>29</v>
      </c>
      <c r="D55" s="19"/>
      <c r="E55" s="19"/>
      <c r="F55" s="19">
        <v>158996.91</v>
      </c>
      <c r="G55" s="19"/>
      <c r="H55" s="20">
        <v>158996.91</v>
      </c>
      <c r="I55" s="20">
        <f>H55*0.11</f>
        <v>17489.6601</v>
      </c>
      <c r="J55" s="20">
        <f>H55*0.1</f>
        <v>15899.691</v>
      </c>
      <c r="K55" s="20">
        <f>H55*0.12</f>
        <v>19079.6292</v>
      </c>
      <c r="L55" s="20">
        <f>H55*0.13</f>
        <v>20669.5983</v>
      </c>
      <c r="M55" s="20">
        <f>H55*0.103</f>
        <v>16376.68173</v>
      </c>
      <c r="N55" s="20">
        <f>H55*0.112</f>
        <v>17807.65392</v>
      </c>
      <c r="O55" s="20">
        <f>H55*0.104</f>
        <v>16535.67864</v>
      </c>
      <c r="P55" s="26">
        <f>H55*0.113</f>
        <v>17966.65083</v>
      </c>
      <c r="Q55" s="26">
        <f>H55-I55-J55-K55-L55-M55-N55-O55-P55</f>
        <v>17171.66628</v>
      </c>
      <c r="R55" s="26">
        <f>SUM(I55:Q55)</f>
        <v>158996.91</v>
      </c>
      <c r="S55" s="24" t="e">
        <f>SUM(#REF!)</f>
        <v>#REF!</v>
      </c>
      <c r="T55" s="32">
        <f>B55+24</f>
        <v>112</v>
      </c>
      <c r="U55" s="11">
        <v>46</v>
      </c>
      <c r="V55" s="11"/>
      <c r="W55" s="10"/>
      <c r="X55" s="10">
        <v>9</v>
      </c>
      <c r="Y55" s="11"/>
    </row>
    <row r="56" s="9" customFormat="1" ht="16.5" customHeight="1" spans="1:25">
      <c r="A56" s="6">
        <v>9</v>
      </c>
      <c r="B56" s="6">
        <v>90</v>
      </c>
      <c r="C56" s="18" t="s">
        <v>30</v>
      </c>
      <c r="D56" s="19"/>
      <c r="E56" s="19"/>
      <c r="F56" s="19"/>
      <c r="G56" s="19">
        <v>3156.7</v>
      </c>
      <c r="H56" s="20">
        <v>3156.7</v>
      </c>
      <c r="I56" s="20">
        <f>H56*0.11</f>
        <v>347.237</v>
      </c>
      <c r="J56" s="20">
        <f>H56*0.1</f>
        <v>315.67</v>
      </c>
      <c r="K56" s="20">
        <f>H56*0.12</f>
        <v>378.804</v>
      </c>
      <c r="L56" s="20">
        <f>H56*0.13</f>
        <v>410.371</v>
      </c>
      <c r="M56" s="20">
        <f>H56*0.103</f>
        <v>325.1401</v>
      </c>
      <c r="N56" s="20">
        <f>H56*0.112</f>
        <v>353.5504</v>
      </c>
      <c r="O56" s="20">
        <f>H56*0.104</f>
        <v>328.2968</v>
      </c>
      <c r="P56" s="26">
        <f>H56*0.113</f>
        <v>356.7071</v>
      </c>
      <c r="Q56" s="26">
        <f>H56-I56-J56-K56-L56-M56-N56-O56-P56</f>
        <v>340.923599999999</v>
      </c>
      <c r="R56" s="26">
        <f>SUM(I56:Q56)</f>
        <v>3156.7</v>
      </c>
      <c r="S56" s="24" t="e">
        <f>SUM(#REF!)</f>
        <v>#REF!</v>
      </c>
      <c r="T56" s="32">
        <f>B56+24</f>
        <v>114</v>
      </c>
      <c r="U56" s="11">
        <v>47</v>
      </c>
      <c r="V56" s="10"/>
      <c r="W56" s="10"/>
      <c r="X56" s="11"/>
      <c r="Y56" s="10">
        <v>4</v>
      </c>
    </row>
    <row r="57" s="9" customFormat="1" ht="16.5" customHeight="1" spans="1:25">
      <c r="A57" s="21"/>
      <c r="B57" s="6"/>
      <c r="C57" s="5" t="s">
        <v>31</v>
      </c>
      <c r="D57" s="22">
        <v>565422.21</v>
      </c>
      <c r="E57" s="22">
        <v>760718.55</v>
      </c>
      <c r="F57" s="22">
        <v>158996.91</v>
      </c>
      <c r="G57" s="22">
        <v>3156.7</v>
      </c>
      <c r="H57" s="23">
        <v>1488294.37</v>
      </c>
      <c r="I57" s="20"/>
      <c r="J57" s="20"/>
      <c r="K57" s="20"/>
      <c r="L57" s="20"/>
      <c r="M57" s="20"/>
      <c r="N57" s="20"/>
      <c r="O57" s="20"/>
      <c r="P57" s="26"/>
      <c r="Q57" s="26"/>
      <c r="R57" s="26"/>
      <c r="S57" s="24" t="e">
        <f>SUM(#REF!)</f>
        <v>#REF!</v>
      </c>
      <c r="T57" s="32">
        <f>B57+24</f>
        <v>24</v>
      </c>
      <c r="U57" s="11">
        <v>48</v>
      </c>
      <c r="V57" s="10"/>
      <c r="W57" s="10"/>
      <c r="X57" s="10"/>
      <c r="Y57" s="10"/>
    </row>
    <row r="58" s="9" customFormat="1" ht="16.5" customHeight="1" spans="1:25">
      <c r="A58" s="21"/>
      <c r="B58" s="6"/>
      <c r="C58" s="5" t="s">
        <v>32</v>
      </c>
      <c r="D58" s="22">
        <v>5251127.53</v>
      </c>
      <c r="E58" s="22">
        <v>6475350.38</v>
      </c>
      <c r="F58" s="22">
        <v>1483992.84</v>
      </c>
      <c r="G58" s="22">
        <v>27729.23</v>
      </c>
      <c r="H58" s="23">
        <v>13238199.98</v>
      </c>
      <c r="I58" s="20"/>
      <c r="J58" s="20"/>
      <c r="K58" s="20"/>
      <c r="L58" s="20"/>
      <c r="M58" s="20"/>
      <c r="N58" s="20"/>
      <c r="O58" s="20"/>
      <c r="P58" s="26"/>
      <c r="Q58" s="26"/>
      <c r="R58" s="26"/>
      <c r="S58" s="24" t="e">
        <f>SUM(#REF!)</f>
        <v>#REF!</v>
      </c>
      <c r="T58" s="32">
        <f>B58+24</f>
        <v>24</v>
      </c>
      <c r="U58" s="11">
        <v>49</v>
      </c>
      <c r="V58" s="10"/>
      <c r="W58" s="10"/>
      <c r="X58" s="10"/>
      <c r="Y58" s="10"/>
    </row>
    <row r="59" ht="16.5" customHeight="1" spans="1:23">
      <c r="A59" s="6">
        <v>10</v>
      </c>
      <c r="B59" s="6">
        <v>57</v>
      </c>
      <c r="C59" s="18" t="s">
        <v>27</v>
      </c>
      <c r="D59" s="19">
        <v>613449.03</v>
      </c>
      <c r="E59" s="24"/>
      <c r="F59" s="24"/>
      <c r="G59" s="24"/>
      <c r="H59" s="20">
        <v>613449.03</v>
      </c>
      <c r="I59" s="20">
        <f>H59*0.11</f>
        <v>67479.3933</v>
      </c>
      <c r="J59" s="20">
        <f>H59*0.1</f>
        <v>61344.903</v>
      </c>
      <c r="K59" s="20">
        <f>H59*0.12</f>
        <v>73613.8836</v>
      </c>
      <c r="L59" s="20">
        <f>H59*0.13</f>
        <v>79748.3739</v>
      </c>
      <c r="M59" s="20">
        <f>H59*0.103</f>
        <v>63185.25009</v>
      </c>
      <c r="N59" s="20">
        <f>H59*0.112</f>
        <v>68706.29136</v>
      </c>
      <c r="O59" s="20">
        <f>H59*0.104</f>
        <v>63798.69912</v>
      </c>
      <c r="P59" s="26">
        <f>H59*0.113</f>
        <v>69319.74039</v>
      </c>
      <c r="Q59" s="26">
        <f>H59-I59-J59-K59-L59-M59-N59-O59-P59</f>
        <v>66252.49524</v>
      </c>
      <c r="R59" s="26">
        <f>SUM(I59:Q59)</f>
        <v>613449.03</v>
      </c>
      <c r="S59" s="24" t="e">
        <f>SUM(#REF!)</f>
        <v>#REF!</v>
      </c>
      <c r="T59" s="32">
        <f>B59+24</f>
        <v>81</v>
      </c>
      <c r="U59" s="11">
        <v>50</v>
      </c>
      <c r="W59" s="11">
        <v>10</v>
      </c>
    </row>
    <row r="60" ht="16.5" customHeight="1" spans="1:22">
      <c r="A60" s="6">
        <v>10</v>
      </c>
      <c r="B60" s="6">
        <v>96</v>
      </c>
      <c r="C60" s="18" t="s">
        <v>28</v>
      </c>
      <c r="D60" s="19"/>
      <c r="E60" s="19">
        <v>732214.03</v>
      </c>
      <c r="F60" s="24"/>
      <c r="G60" s="24"/>
      <c r="H60" s="20">
        <v>732214.03</v>
      </c>
      <c r="I60" s="20">
        <f>H60*0.11</f>
        <v>80543.5433</v>
      </c>
      <c r="J60" s="20">
        <f>H60*0.1</f>
        <v>73221.403</v>
      </c>
      <c r="K60" s="20">
        <f>H60*0.12</f>
        <v>87865.6836</v>
      </c>
      <c r="L60" s="20">
        <f>H60*0.13</f>
        <v>95187.8239</v>
      </c>
      <c r="M60" s="20">
        <f>H60*0.103</f>
        <v>75418.04509</v>
      </c>
      <c r="N60" s="20">
        <f>H60*0.112</f>
        <v>82007.97136</v>
      </c>
      <c r="O60" s="20">
        <f>H60*0.104</f>
        <v>76150.25912</v>
      </c>
      <c r="P60" s="26">
        <f>H60*0.113</f>
        <v>82740.18539</v>
      </c>
      <c r="Q60" s="26">
        <f>H60-I60-J60-K60-L60-M60-N60-O60-P60</f>
        <v>79079.11524</v>
      </c>
      <c r="R60" s="26">
        <f>SUM(I60:Q60)</f>
        <v>732214.03</v>
      </c>
      <c r="S60" s="24" t="e">
        <f>SUM(#REF!)</f>
        <v>#REF!</v>
      </c>
      <c r="T60" s="32">
        <f>B60+24</f>
        <v>120</v>
      </c>
      <c r="U60" s="11">
        <v>51</v>
      </c>
      <c r="V60" s="11">
        <v>10</v>
      </c>
    </row>
    <row r="61" ht="16.5" customHeight="1" spans="1:24">
      <c r="A61" s="6">
        <v>10</v>
      </c>
      <c r="B61" s="6">
        <v>89</v>
      </c>
      <c r="C61" s="18" t="s">
        <v>29</v>
      </c>
      <c r="D61" s="19"/>
      <c r="E61" s="19"/>
      <c r="F61" s="19">
        <v>166265.48</v>
      </c>
      <c r="G61" s="24"/>
      <c r="H61" s="20">
        <v>166265.48</v>
      </c>
      <c r="I61" s="20">
        <f>H61*0.11</f>
        <v>18289.2028</v>
      </c>
      <c r="J61" s="20">
        <f>H61*0.1</f>
        <v>16626.548</v>
      </c>
      <c r="K61" s="20">
        <f>H61*0.12</f>
        <v>19951.8576</v>
      </c>
      <c r="L61" s="20">
        <f>H61*0.13</f>
        <v>21614.5124</v>
      </c>
      <c r="M61" s="20">
        <f>H61*0.103</f>
        <v>17125.34444</v>
      </c>
      <c r="N61" s="20">
        <f>H61*0.112</f>
        <v>18621.73376</v>
      </c>
      <c r="O61" s="20">
        <f>H61*0.104</f>
        <v>17291.60992</v>
      </c>
      <c r="P61" s="26">
        <f>H61*0.113</f>
        <v>18787.99924</v>
      </c>
      <c r="Q61" s="26">
        <f>H61-I61-J61-K61-L61-M61-N61-O61-P61</f>
        <v>17956.67184</v>
      </c>
      <c r="R61" s="26">
        <f>SUM(I61:Q61)</f>
        <v>166265.48</v>
      </c>
      <c r="S61" s="24" t="e">
        <f>SUM(#REF!)</f>
        <v>#REF!</v>
      </c>
      <c r="T61" s="32">
        <f>B61+24</f>
        <v>113</v>
      </c>
      <c r="U61" s="11">
        <v>52</v>
      </c>
      <c r="X61" s="11">
        <v>10</v>
      </c>
    </row>
    <row r="62" ht="16.5" customHeight="1" spans="1:25">
      <c r="A62" s="6">
        <v>10</v>
      </c>
      <c r="B62" s="6">
        <v>77</v>
      </c>
      <c r="C62" s="18" t="s">
        <v>30</v>
      </c>
      <c r="D62" s="19"/>
      <c r="E62" s="24"/>
      <c r="F62" s="19"/>
      <c r="G62" s="19">
        <v>3144.06</v>
      </c>
      <c r="H62" s="20">
        <v>3144.06</v>
      </c>
      <c r="I62" s="20">
        <f>H62*0.11</f>
        <v>345.8466</v>
      </c>
      <c r="J62" s="20">
        <f>H62*0.1</f>
        <v>314.406</v>
      </c>
      <c r="K62" s="20">
        <f>H62*0.12</f>
        <v>377.2872</v>
      </c>
      <c r="L62" s="20">
        <f>H62*0.13</f>
        <v>408.7278</v>
      </c>
      <c r="M62" s="20">
        <f>H62*0.103</f>
        <v>323.83818</v>
      </c>
      <c r="N62" s="20">
        <f>H62*0.112</f>
        <v>352.13472</v>
      </c>
      <c r="O62" s="20">
        <f>H62*0.104</f>
        <v>326.98224</v>
      </c>
      <c r="P62" s="26">
        <f>H62*0.113</f>
        <v>355.27878</v>
      </c>
      <c r="Q62" s="26">
        <f>H62-I62-J62-K62-L62-M62-N62-O62-P62</f>
        <v>339.55848</v>
      </c>
      <c r="R62" s="26">
        <f>SUM(I62:Q62)</f>
        <v>3144.06</v>
      </c>
      <c r="S62" s="24" t="e">
        <f>SUM(#REF!)</f>
        <v>#REF!</v>
      </c>
      <c r="T62" s="32">
        <f>B62+24</f>
        <v>101</v>
      </c>
      <c r="U62" s="11">
        <v>53</v>
      </c>
      <c r="Y62" s="11">
        <v>5</v>
      </c>
    </row>
    <row r="63" s="10" customFormat="1" ht="16.5" customHeight="1" spans="1:21">
      <c r="A63" s="6"/>
      <c r="B63" s="6"/>
      <c r="C63" s="5" t="s">
        <v>31</v>
      </c>
      <c r="D63" s="22">
        <v>613449.03</v>
      </c>
      <c r="E63" s="22">
        <v>732214.03</v>
      </c>
      <c r="F63" s="22">
        <v>166265.48</v>
      </c>
      <c r="G63" s="22">
        <v>3144.06</v>
      </c>
      <c r="H63" s="23">
        <v>1515072.6</v>
      </c>
      <c r="I63" s="20"/>
      <c r="J63" s="20"/>
      <c r="K63" s="20"/>
      <c r="L63" s="20"/>
      <c r="M63" s="20"/>
      <c r="N63" s="20"/>
      <c r="O63" s="20"/>
      <c r="P63" s="26"/>
      <c r="Q63" s="26"/>
      <c r="R63" s="26"/>
      <c r="S63" s="24" t="e">
        <f>SUM(#REF!)</f>
        <v>#REF!</v>
      </c>
      <c r="T63" s="32">
        <f>B63+24</f>
        <v>24</v>
      </c>
      <c r="U63" s="11">
        <v>54</v>
      </c>
    </row>
    <row r="64" s="10" customFormat="1" ht="16.5" customHeight="1" spans="1:21">
      <c r="A64" s="6"/>
      <c r="B64" s="6"/>
      <c r="C64" s="5" t="s">
        <v>32</v>
      </c>
      <c r="D64" s="22">
        <v>5864576.56</v>
      </c>
      <c r="E64" s="22">
        <v>7207564.41</v>
      </c>
      <c r="F64" s="22">
        <v>1650258.32</v>
      </c>
      <c r="G64" s="22">
        <v>30873.29</v>
      </c>
      <c r="H64" s="23">
        <v>14753272.58</v>
      </c>
      <c r="I64" s="20"/>
      <c r="J64" s="20"/>
      <c r="K64" s="20"/>
      <c r="L64" s="20"/>
      <c r="M64" s="20"/>
      <c r="N64" s="20"/>
      <c r="O64" s="20"/>
      <c r="P64" s="26"/>
      <c r="Q64" s="26"/>
      <c r="R64" s="26"/>
      <c r="S64" s="24" t="e">
        <f>SUM(#REF!)</f>
        <v>#REF!</v>
      </c>
      <c r="T64" s="32">
        <f>B64+24</f>
        <v>24</v>
      </c>
      <c r="U64" s="11">
        <v>55</v>
      </c>
    </row>
    <row r="65" ht="16.5" customHeight="1" spans="1:23">
      <c r="A65" s="6">
        <v>11</v>
      </c>
      <c r="B65" s="6">
        <v>69</v>
      </c>
      <c r="C65" s="18" t="s">
        <v>27</v>
      </c>
      <c r="D65" s="19">
        <v>600938.65</v>
      </c>
      <c r="E65" s="19"/>
      <c r="F65" s="19"/>
      <c r="G65" s="19"/>
      <c r="H65" s="20">
        <v>600938.65</v>
      </c>
      <c r="I65" s="20">
        <f>H65*0.11</f>
        <v>66103.2515</v>
      </c>
      <c r="J65" s="20">
        <f>H65*0.1</f>
        <v>60093.865</v>
      </c>
      <c r="K65" s="20">
        <f>H65*0.12</f>
        <v>72112.638</v>
      </c>
      <c r="L65" s="20">
        <f>H65*0.13</f>
        <v>78122.0245</v>
      </c>
      <c r="M65" s="20">
        <f>H65*0.103</f>
        <v>61896.68095</v>
      </c>
      <c r="N65" s="20">
        <f>H65*0.112</f>
        <v>67305.1288</v>
      </c>
      <c r="O65" s="20">
        <f>H65*0.104</f>
        <v>62497.6196</v>
      </c>
      <c r="P65" s="26">
        <f>H65*0.113</f>
        <v>67906.06745</v>
      </c>
      <c r="Q65" s="26">
        <f>H65-I65-J65-K65-L65-M65-N65-O65-P65</f>
        <v>64901.3742</v>
      </c>
      <c r="R65" s="26">
        <f>SUM(I65:Q65)</f>
        <v>600938.65</v>
      </c>
      <c r="S65" s="24" t="e">
        <f>SUM(#REF!)</f>
        <v>#REF!</v>
      </c>
      <c r="T65" s="32">
        <f>B65+24</f>
        <v>93</v>
      </c>
      <c r="U65" s="11">
        <v>56</v>
      </c>
      <c r="W65" s="11">
        <v>11</v>
      </c>
    </row>
    <row r="66" ht="16.5" customHeight="1" spans="1:22">
      <c r="A66" s="6">
        <v>11</v>
      </c>
      <c r="B66" s="6">
        <v>115</v>
      </c>
      <c r="C66" s="18" t="s">
        <v>28</v>
      </c>
      <c r="D66" s="19"/>
      <c r="E66" s="19">
        <v>749768.27</v>
      </c>
      <c r="F66" s="19"/>
      <c r="G66" s="19"/>
      <c r="H66" s="20">
        <v>749768.27</v>
      </c>
      <c r="I66" s="20">
        <f>H66*0.11</f>
        <v>82474.5097</v>
      </c>
      <c r="J66" s="20">
        <f>H66*0.1</f>
        <v>74976.827</v>
      </c>
      <c r="K66" s="20">
        <f>H66*0.12</f>
        <v>89972.1924</v>
      </c>
      <c r="L66" s="20">
        <f>H66*0.13</f>
        <v>97469.8751</v>
      </c>
      <c r="M66" s="20">
        <f>H66*0.103</f>
        <v>77226.13181</v>
      </c>
      <c r="N66" s="20">
        <f>H66*0.112</f>
        <v>83974.04624</v>
      </c>
      <c r="O66" s="20">
        <f>H66*0.104</f>
        <v>77975.90008</v>
      </c>
      <c r="P66" s="26">
        <f>H66*0.113</f>
        <v>84723.81451</v>
      </c>
      <c r="Q66" s="26">
        <f>H66-I66-J66-K66-L66-M66-N66-O66-P66</f>
        <v>80974.9731599999</v>
      </c>
      <c r="R66" s="26">
        <f>SUM(I66:Q66)</f>
        <v>749768.27</v>
      </c>
      <c r="S66" s="24" t="e">
        <f>SUM(#REF!)</f>
        <v>#REF!</v>
      </c>
      <c r="T66" s="32">
        <f>B66+24</f>
        <v>139</v>
      </c>
      <c r="U66" s="11">
        <v>57</v>
      </c>
      <c r="V66" s="11">
        <v>11</v>
      </c>
    </row>
    <row r="67" ht="16.5" customHeight="1" spans="1:24">
      <c r="A67" s="6">
        <v>11</v>
      </c>
      <c r="B67" s="6">
        <v>78</v>
      </c>
      <c r="C67" s="18" t="s">
        <v>29</v>
      </c>
      <c r="D67" s="19"/>
      <c r="E67" s="19"/>
      <c r="F67" s="19">
        <v>171187.09</v>
      </c>
      <c r="G67" s="19"/>
      <c r="H67" s="20">
        <v>171187.09</v>
      </c>
      <c r="I67" s="20">
        <f>H67*0.11</f>
        <v>18830.5799</v>
      </c>
      <c r="J67" s="20">
        <f>H67*0.1</f>
        <v>17118.709</v>
      </c>
      <c r="K67" s="20">
        <f>H67*0.12</f>
        <v>20542.4508</v>
      </c>
      <c r="L67" s="20">
        <f>H67*0.13</f>
        <v>22254.3217</v>
      </c>
      <c r="M67" s="20">
        <f>H67*0.103</f>
        <v>17632.27027</v>
      </c>
      <c r="N67" s="20">
        <f>H67*0.112</f>
        <v>19172.95408</v>
      </c>
      <c r="O67" s="20">
        <f>H67*0.104</f>
        <v>17803.45736</v>
      </c>
      <c r="P67" s="26">
        <f>H67*0.113</f>
        <v>19344.14117</v>
      </c>
      <c r="Q67" s="26">
        <f>H67-I67-J67-K67-L67-M67-N67-O67-P67</f>
        <v>18488.20572</v>
      </c>
      <c r="R67" s="26">
        <f>SUM(I67:Q67)</f>
        <v>171187.09</v>
      </c>
      <c r="S67" s="24" t="e">
        <f>SUM(#REF!)</f>
        <v>#REF!</v>
      </c>
      <c r="T67" s="32">
        <f>B67+24</f>
        <v>102</v>
      </c>
      <c r="U67" s="11">
        <v>58</v>
      </c>
      <c r="X67" s="11">
        <v>11</v>
      </c>
    </row>
    <row r="68" ht="16.5" customHeight="1" spans="1:20">
      <c r="A68" s="6">
        <v>11</v>
      </c>
      <c r="B68" s="6">
        <v>45</v>
      </c>
      <c r="C68" s="18" t="s">
        <v>30</v>
      </c>
      <c r="D68" s="19"/>
      <c r="E68" s="19"/>
      <c r="F68" s="19"/>
      <c r="G68" s="19">
        <v>3041</v>
      </c>
      <c r="H68" s="20">
        <v>3041</v>
      </c>
      <c r="I68" s="20">
        <f>H68*0.11</f>
        <v>334.51</v>
      </c>
      <c r="J68" s="20">
        <f>H68*0.1</f>
        <v>304.1</v>
      </c>
      <c r="K68" s="20">
        <f>H68*0.12</f>
        <v>364.92</v>
      </c>
      <c r="L68" s="20">
        <f>H68*0.13</f>
        <v>395.33</v>
      </c>
      <c r="M68" s="20">
        <f>H68*0.103</f>
        <v>313.223</v>
      </c>
      <c r="N68" s="20">
        <f>H68*0.112</f>
        <v>340.592</v>
      </c>
      <c r="O68" s="20">
        <f>H68*0.104</f>
        <v>316.264</v>
      </c>
      <c r="P68" s="26">
        <f>H68*0.113</f>
        <v>343.633</v>
      </c>
      <c r="Q68" s="26">
        <f>H68-I68-J68-K68-L68-M68-N68-O68-P68</f>
        <v>328.428</v>
      </c>
      <c r="R68" s="26">
        <f>SUM(I68:Q68)</f>
        <v>3041</v>
      </c>
      <c r="S68" s="24"/>
      <c r="T68" s="32">
        <f>B68+24</f>
        <v>69</v>
      </c>
    </row>
    <row r="69" s="9" customFormat="1" ht="16.5" customHeight="1" spans="1:25">
      <c r="A69" s="21"/>
      <c r="B69" s="6"/>
      <c r="C69" s="5" t="s">
        <v>31</v>
      </c>
      <c r="D69" s="22">
        <v>600938.65</v>
      </c>
      <c r="E69" s="22">
        <v>749768.27</v>
      </c>
      <c r="F69" s="22">
        <v>171187.09</v>
      </c>
      <c r="G69" s="22">
        <v>3041</v>
      </c>
      <c r="H69" s="22">
        <v>1524935.01</v>
      </c>
      <c r="I69" s="20"/>
      <c r="J69" s="20"/>
      <c r="K69" s="20"/>
      <c r="L69" s="20"/>
      <c r="M69" s="20"/>
      <c r="N69" s="20"/>
      <c r="O69" s="20"/>
      <c r="P69" s="26"/>
      <c r="Q69" s="26"/>
      <c r="R69" s="26"/>
      <c r="S69" s="24" t="e">
        <f>SUM(#REF!)</f>
        <v>#REF!</v>
      </c>
      <c r="T69" s="32">
        <f>B69+24</f>
        <v>24</v>
      </c>
      <c r="U69" s="11">
        <v>59</v>
      </c>
      <c r="V69" s="11"/>
      <c r="W69" s="10"/>
      <c r="X69" s="10"/>
      <c r="Y69" s="10"/>
    </row>
    <row r="70" s="9" customFormat="1" ht="16.5" customHeight="1" spans="1:25">
      <c r="A70" s="21"/>
      <c r="B70" s="6"/>
      <c r="C70" s="5" t="s">
        <v>32</v>
      </c>
      <c r="D70" s="22">
        <v>6465515.21</v>
      </c>
      <c r="E70" s="22">
        <v>7957332.68</v>
      </c>
      <c r="F70" s="22">
        <v>1821445.41</v>
      </c>
      <c r="G70" s="22">
        <v>33914.29</v>
      </c>
      <c r="H70" s="23">
        <v>16278207.59</v>
      </c>
      <c r="I70" s="20"/>
      <c r="J70" s="20"/>
      <c r="K70" s="20"/>
      <c r="L70" s="20"/>
      <c r="M70" s="20"/>
      <c r="N70" s="20"/>
      <c r="O70" s="20"/>
      <c r="P70" s="26"/>
      <c r="Q70" s="26"/>
      <c r="R70" s="26"/>
      <c r="S70" s="24" t="e">
        <f>SUM(#REF!)</f>
        <v>#REF!</v>
      </c>
      <c r="T70" s="32">
        <f>B70+24</f>
        <v>24</v>
      </c>
      <c r="U70" s="11">
        <v>60</v>
      </c>
      <c r="V70" s="10"/>
      <c r="W70" s="10"/>
      <c r="X70" s="10"/>
      <c r="Y70" s="10"/>
    </row>
    <row r="71" ht="16.5" customHeight="1" spans="1:23">
      <c r="A71" s="6">
        <v>12</v>
      </c>
      <c r="B71" s="6">
        <v>75</v>
      </c>
      <c r="C71" s="18" t="s">
        <v>27</v>
      </c>
      <c r="D71" s="19">
        <v>662047.11</v>
      </c>
      <c r="E71" s="19"/>
      <c r="F71" s="19"/>
      <c r="G71" s="19"/>
      <c r="H71" s="20">
        <f t="shared" ref="H71:H74" si="21">SUM(D71:G71)</f>
        <v>662047.11</v>
      </c>
      <c r="I71" s="20">
        <f t="shared" ref="I71:I74" si="22">H71*0.11</f>
        <v>72825.1821</v>
      </c>
      <c r="J71" s="20">
        <f t="shared" ref="J71:J74" si="23">H71*0.1</f>
        <v>66204.711</v>
      </c>
      <c r="K71" s="20">
        <f t="shared" ref="K71:K74" si="24">H71*0.12</f>
        <v>79445.6532</v>
      </c>
      <c r="L71" s="20">
        <f t="shared" ref="L71:L74" si="25">H71*0.13</f>
        <v>86066.1243</v>
      </c>
      <c r="M71" s="20">
        <f t="shared" ref="M71:M74" si="26">H71*0.103</f>
        <v>68190.85233</v>
      </c>
      <c r="N71" s="20">
        <f t="shared" ref="N71:N74" si="27">H71*0.112</f>
        <v>74149.27632</v>
      </c>
      <c r="O71" s="20">
        <f t="shared" ref="O71:O74" si="28">H71*0.104</f>
        <v>68852.89944</v>
      </c>
      <c r="P71" s="26">
        <f t="shared" ref="P71:P74" si="29">H71*0.113</f>
        <v>74811.32343</v>
      </c>
      <c r="Q71" s="26">
        <f t="shared" ref="Q71:Q74" si="30">H71-I71-J71-K71-L71-M71-N71-O71-P71</f>
        <v>71501.08788</v>
      </c>
      <c r="R71" s="26">
        <f t="shared" ref="R71:R74" si="31">SUM(I71:Q71)</f>
        <v>662047.11</v>
      </c>
      <c r="S71" s="24" t="e">
        <f>SUM(#REF!)</f>
        <v>#REF!</v>
      </c>
      <c r="T71" s="32">
        <f>B71+24</f>
        <v>99</v>
      </c>
      <c r="U71" s="11">
        <v>61</v>
      </c>
      <c r="W71" s="11">
        <v>12</v>
      </c>
    </row>
    <row r="72" ht="16.5" customHeight="1" spans="1:22">
      <c r="A72" s="6">
        <v>12</v>
      </c>
      <c r="B72" s="6">
        <v>82</v>
      </c>
      <c r="C72" s="18" t="s">
        <v>28</v>
      </c>
      <c r="D72" s="19"/>
      <c r="E72" s="19">
        <v>796221.87</v>
      </c>
      <c r="F72" s="19"/>
      <c r="G72" s="19"/>
      <c r="H72" s="20">
        <f>SUM(D72:G72)</f>
        <v>796221.87</v>
      </c>
      <c r="I72" s="20">
        <f>H72*0.11</f>
        <v>87584.4057</v>
      </c>
      <c r="J72" s="20">
        <f>H72*0.1</f>
        <v>79622.187</v>
      </c>
      <c r="K72" s="20">
        <f>H72*0.12</f>
        <v>95546.6244</v>
      </c>
      <c r="L72" s="20">
        <f>H72*0.13</f>
        <v>103508.8431</v>
      </c>
      <c r="M72" s="20">
        <f>H72*0.103</f>
        <v>82010.85261</v>
      </c>
      <c r="N72" s="20">
        <f>H72*0.112</f>
        <v>89176.84944</v>
      </c>
      <c r="O72" s="20">
        <f>H72*0.104</f>
        <v>82807.07448</v>
      </c>
      <c r="P72" s="26">
        <f>H72*0.113</f>
        <v>89973.07131</v>
      </c>
      <c r="Q72" s="26">
        <f>H72-I72-J72-K72-L72-M72-N72-O72-P72</f>
        <v>85991.96196</v>
      </c>
      <c r="R72" s="26">
        <f>SUM(I72:Q72)</f>
        <v>796221.87</v>
      </c>
      <c r="S72" s="24" t="e">
        <f>SUM(#REF!)</f>
        <v>#REF!</v>
      </c>
      <c r="T72" s="32">
        <f>B72+24</f>
        <v>106</v>
      </c>
      <c r="U72" s="11">
        <v>62</v>
      </c>
      <c r="V72" s="11">
        <v>12</v>
      </c>
    </row>
    <row r="73" ht="16.5" customHeight="1" spans="1:24">
      <c r="A73" s="6">
        <v>12</v>
      </c>
      <c r="B73" s="6">
        <v>131</v>
      </c>
      <c r="C73" s="18" t="s">
        <v>29</v>
      </c>
      <c r="D73" s="19"/>
      <c r="E73" s="19"/>
      <c r="F73" s="19">
        <v>152351.88</v>
      </c>
      <c r="G73" s="19"/>
      <c r="H73" s="20">
        <f>SUM(D73:G73)</f>
        <v>152351.88</v>
      </c>
      <c r="I73" s="20">
        <f>H73*0.11</f>
        <v>16758.7068</v>
      </c>
      <c r="J73" s="20">
        <f>H73*0.1</f>
        <v>15235.188</v>
      </c>
      <c r="K73" s="20">
        <f>H73*0.12</f>
        <v>18282.2256</v>
      </c>
      <c r="L73" s="20">
        <f>H73*0.13</f>
        <v>19805.7444</v>
      </c>
      <c r="M73" s="20">
        <f>H73*0.103</f>
        <v>15692.24364</v>
      </c>
      <c r="N73" s="20">
        <f>H73*0.112</f>
        <v>17063.41056</v>
      </c>
      <c r="O73" s="20">
        <f>H73*0.104</f>
        <v>15844.59552</v>
      </c>
      <c r="P73" s="26">
        <f>H73*0.113</f>
        <v>17215.76244</v>
      </c>
      <c r="Q73" s="26">
        <f>H73-I73-J73-K73-L73-M73-N73-O73-P73</f>
        <v>16454.00304</v>
      </c>
      <c r="R73" s="26">
        <f>SUM(I73:Q73)</f>
        <v>152351.88</v>
      </c>
      <c r="S73" s="24" t="e">
        <f>SUM(#REF!)</f>
        <v>#REF!</v>
      </c>
      <c r="T73" s="32">
        <f>B73+24</f>
        <v>155</v>
      </c>
      <c r="U73" s="11">
        <v>63</v>
      </c>
      <c r="X73" s="11">
        <v>12</v>
      </c>
    </row>
    <row r="74" ht="16.5" customHeight="1" spans="1:25">
      <c r="A74" s="6">
        <v>12</v>
      </c>
      <c r="B74" s="6">
        <v>102</v>
      </c>
      <c r="C74" s="18" t="s">
        <v>30</v>
      </c>
      <c r="D74" s="19"/>
      <c r="E74" s="19"/>
      <c r="F74" s="19"/>
      <c r="G74" s="19">
        <v>3171.55</v>
      </c>
      <c r="H74" s="20">
        <f>SUM(D74:G74)</f>
        <v>3171.55</v>
      </c>
      <c r="I74" s="20">
        <f>H74*0.11</f>
        <v>348.8705</v>
      </c>
      <c r="J74" s="20">
        <f>H74*0.1</f>
        <v>317.155</v>
      </c>
      <c r="K74" s="20">
        <f>H74*0.12</f>
        <v>380.586</v>
      </c>
      <c r="L74" s="20">
        <f>H74*0.13</f>
        <v>412.3015</v>
      </c>
      <c r="M74" s="20">
        <f>H74*0.103</f>
        <v>326.66965</v>
      </c>
      <c r="N74" s="20">
        <f>H74*0.112</f>
        <v>355.2136</v>
      </c>
      <c r="O74" s="20">
        <f>H74*0.104</f>
        <v>329.8412</v>
      </c>
      <c r="P74" s="26">
        <f>H74*0.113</f>
        <v>358.38515</v>
      </c>
      <c r="Q74" s="26">
        <f>H74-I74-J74-K74-L74-M74-N74-O74-P74</f>
        <v>342.5274</v>
      </c>
      <c r="R74" s="26">
        <f>SUM(I74:Q74)</f>
        <v>3171.55</v>
      </c>
      <c r="S74" s="24" t="e">
        <f>SUM(#REF!)</f>
        <v>#REF!</v>
      </c>
      <c r="T74" s="32">
        <f>B74+24</f>
        <v>126</v>
      </c>
      <c r="U74" s="11">
        <v>64</v>
      </c>
      <c r="Y74" s="11">
        <v>6</v>
      </c>
    </row>
    <row r="75" ht="16.5" customHeight="1" spans="1:21">
      <c r="A75" s="6"/>
      <c r="B75" s="6"/>
      <c r="C75" s="5" t="s">
        <v>31</v>
      </c>
      <c r="D75" s="22">
        <f t="shared" ref="D75:H75" si="32">SUM(D71:D74)</f>
        <v>662047.11</v>
      </c>
      <c r="E75" s="22">
        <f>SUM(E71:E74)</f>
        <v>796221.87</v>
      </c>
      <c r="F75" s="22">
        <f>SUM(F71:F74)</f>
        <v>152351.88</v>
      </c>
      <c r="G75" s="22">
        <f>SUM(G71:G74)</f>
        <v>3171.55</v>
      </c>
      <c r="H75" s="22">
        <f>SUM(H71:H74)</f>
        <v>1613792.41</v>
      </c>
      <c r="I75" s="20"/>
      <c r="J75" s="20"/>
      <c r="K75" s="20"/>
      <c r="L75" s="20"/>
      <c r="M75" s="20"/>
      <c r="N75" s="20"/>
      <c r="O75" s="20"/>
      <c r="P75" s="26"/>
      <c r="Q75" s="26"/>
      <c r="R75" s="26"/>
      <c r="S75" s="24" t="e">
        <f>SUM(#REF!)</f>
        <v>#REF!</v>
      </c>
      <c r="T75" s="32">
        <f>B75+24</f>
        <v>24</v>
      </c>
      <c r="U75" s="11">
        <v>65</v>
      </c>
    </row>
    <row r="76" ht="16.5" customHeight="1" spans="1:21">
      <c r="A76" s="6"/>
      <c r="B76" s="6"/>
      <c r="C76" s="22" t="s">
        <v>32</v>
      </c>
      <c r="D76" s="22">
        <f t="shared" ref="D76:H76" si="33">D70+D75</f>
        <v>7127562.32</v>
      </c>
      <c r="E76" s="22">
        <f>E70+E75</f>
        <v>8753554.55</v>
      </c>
      <c r="F76" s="22">
        <f>F70+F75</f>
        <v>1973797.29</v>
      </c>
      <c r="G76" s="22">
        <f>G70+G75</f>
        <v>37085.84</v>
      </c>
      <c r="H76" s="22">
        <f>H70+H75</f>
        <v>17892000</v>
      </c>
      <c r="I76" s="48">
        <f t="shared" ref="I76:R76" si="34">SUM(I5:I75)</f>
        <v>1968120</v>
      </c>
      <c r="J76" s="48">
        <f>SUM(J5:J75)</f>
        <v>1789200</v>
      </c>
      <c r="K76" s="48">
        <f>SUM(K5:K75)</f>
        <v>2147040</v>
      </c>
      <c r="L76" s="48">
        <f>SUM(L5:L75)</f>
        <v>2325960</v>
      </c>
      <c r="M76" s="48">
        <f>SUM(M5:M75)</f>
        <v>1842876</v>
      </c>
      <c r="N76" s="48">
        <f>SUM(N5:N75)</f>
        <v>2003904</v>
      </c>
      <c r="O76" s="48">
        <f>SUM(O5:O75)</f>
        <v>1860768</v>
      </c>
      <c r="P76" s="48">
        <f>SUM(P5:P75)</f>
        <v>2021796</v>
      </c>
      <c r="Q76" s="48">
        <f>SUM(Q5:Q75)</f>
        <v>1932336</v>
      </c>
      <c r="R76" s="48">
        <f>SUM(R5:R75)</f>
        <v>17892000</v>
      </c>
      <c r="S76" s="23" t="e">
        <f>SUM(S4:S75)</f>
        <v>#REF!</v>
      </c>
      <c r="T76" s="32">
        <f>B76+24</f>
        <v>24</v>
      </c>
      <c r="U76" s="11">
        <v>66</v>
      </c>
    </row>
    <row r="77" spans="1:20">
      <c r="A77" s="33"/>
      <c r="B77" s="33"/>
      <c r="C77" s="34"/>
      <c r="D77" s="35">
        <f t="shared" ref="D77:G77" si="35">D76/$H$76</f>
        <v>0.398365879722781</v>
      </c>
      <c r="E77" s="35">
        <f>E76/$H$76</f>
        <v>0.489244050413593</v>
      </c>
      <c r="F77" s="35">
        <f>F76/$H$76</f>
        <v>0.110317308853119</v>
      </c>
      <c r="G77" s="35">
        <f>G76/$H$76</f>
        <v>0.00207276101050749</v>
      </c>
      <c r="H77" s="33"/>
      <c r="I77" s="33"/>
      <c r="J77" s="33"/>
      <c r="K77" s="33"/>
      <c r="L77" s="33"/>
      <c r="M77" s="33"/>
      <c r="N77" s="33"/>
      <c r="O77" s="33"/>
      <c r="P77" s="33"/>
      <c r="Q77" s="33"/>
      <c r="R77" s="44"/>
      <c r="S77" s="33"/>
      <c r="T77" s="32"/>
    </row>
    <row r="78" spans="1:20">
      <c r="A78" s="33"/>
      <c r="B78" s="33"/>
      <c r="C78" s="34"/>
      <c r="D78" s="33"/>
      <c r="E78" s="33"/>
      <c r="F78" s="33"/>
      <c r="G78" s="16" t="s">
        <v>56</v>
      </c>
      <c r="H78" s="36"/>
      <c r="I78" s="37"/>
      <c r="J78" s="37"/>
      <c r="K78" s="37"/>
      <c r="L78" s="37"/>
      <c r="M78" s="37"/>
      <c r="N78" s="37"/>
      <c r="O78" s="37"/>
      <c r="P78" s="37"/>
      <c r="Q78" s="37"/>
      <c r="R78" s="45"/>
      <c r="S78" s="37"/>
      <c r="T78" s="32"/>
    </row>
    <row r="79" spans="1:20">
      <c r="A79" s="33"/>
      <c r="B79" s="33"/>
      <c r="C79" s="34"/>
      <c r="D79" s="33"/>
      <c r="E79" s="33"/>
      <c r="F79" s="33"/>
      <c r="G79" s="33"/>
      <c r="H79" s="37"/>
      <c r="I79" s="37"/>
      <c r="J79" s="37"/>
      <c r="K79" s="37"/>
      <c r="L79" s="37"/>
      <c r="M79" s="37"/>
      <c r="N79" s="37"/>
      <c r="O79" s="37"/>
      <c r="P79" s="37"/>
      <c r="Q79" s="37"/>
      <c r="R79" s="45"/>
      <c r="S79" s="37"/>
      <c r="T79" s="37"/>
    </row>
    <row r="80" spans="1:20">
      <c r="A80" s="33"/>
      <c r="B80" s="33"/>
      <c r="C80" s="34"/>
      <c r="D80" s="33">
        <v>1</v>
      </c>
      <c r="E80" s="33">
        <v>2</v>
      </c>
      <c r="F80" s="33">
        <v>3</v>
      </c>
      <c r="G80" s="16" t="s">
        <v>57</v>
      </c>
      <c r="H80" s="36">
        <v>17892000</v>
      </c>
      <c r="I80" s="37"/>
      <c r="J80" s="37"/>
      <c r="K80" s="37"/>
      <c r="L80" s="37"/>
      <c r="M80" s="37"/>
      <c r="N80" s="37"/>
      <c r="O80" s="37"/>
      <c r="P80" s="37"/>
      <c r="Q80" s="37"/>
      <c r="R80" s="45">
        <f>SUBTOTAL(9,R5:R74)</f>
        <v>17892000</v>
      </c>
      <c r="S80" s="45" t="e">
        <f>SUBTOTAL(9,S5:S74)</f>
        <v>#REF!</v>
      </c>
      <c r="T80" s="45"/>
    </row>
    <row r="81" spans="1:20">
      <c r="A81" s="33"/>
      <c r="B81" s="33"/>
      <c r="C81" s="34"/>
      <c r="D81" s="33"/>
      <c r="E81" s="33"/>
      <c r="F81" s="33"/>
      <c r="G81" s="16" t="s">
        <v>58</v>
      </c>
      <c r="H81" s="36">
        <f>H80-H76</f>
        <v>0</v>
      </c>
      <c r="I81" s="37"/>
      <c r="J81" s="37"/>
      <c r="K81" s="37"/>
      <c r="L81" s="37"/>
      <c r="M81" s="37"/>
      <c r="N81" s="37"/>
      <c r="O81" s="37"/>
      <c r="P81" s="37"/>
      <c r="Q81" s="37"/>
      <c r="R81" s="45"/>
      <c r="S81" s="37"/>
      <c r="T81" s="37"/>
    </row>
    <row r="82" spans="1:20">
      <c r="A82" s="33"/>
      <c r="B82" s="33"/>
      <c r="C82" s="34"/>
      <c r="D82" s="33"/>
      <c r="E82" s="33"/>
      <c r="F82" s="33"/>
      <c r="G82" s="33"/>
      <c r="H82" s="37"/>
      <c r="I82" s="37"/>
      <c r="J82" s="37"/>
      <c r="K82" s="37"/>
      <c r="L82" s="37"/>
      <c r="M82" s="37"/>
      <c r="N82" s="37"/>
      <c r="O82" s="37"/>
      <c r="P82" s="37"/>
      <c r="Q82" s="37"/>
      <c r="R82" s="45"/>
      <c r="S82" s="37"/>
      <c r="T82" s="37"/>
    </row>
    <row r="83" spans="1:20">
      <c r="A83" s="33"/>
      <c r="B83" s="33"/>
      <c r="C83" s="34"/>
      <c r="D83" s="38">
        <f ca="1">RANDBETWEEN(30000000,40000000)*0.00000001*$H$80</f>
        <v>6099903.63612</v>
      </c>
      <c r="E83" s="38">
        <f ca="1">H80-D83-F83-G83</f>
        <v>9636309.32292</v>
      </c>
      <c r="F83" s="38">
        <f ca="1">RANDBETWEEN(8000000,12000000)*0.00000001*$H$80</f>
        <v>2085784.41204</v>
      </c>
      <c r="G83" s="38">
        <f ca="1">RANDBETWEEN(100000,400000)*0.00000001*$H$80</f>
        <v>70002.62892</v>
      </c>
      <c r="H83" s="39">
        <f>SUBTOTAL(9,H5:H74)</f>
        <v>131366324.66</v>
      </c>
      <c r="I83" s="39"/>
      <c r="J83" s="39"/>
      <c r="K83" s="39"/>
      <c r="L83" s="39"/>
      <c r="M83" s="39"/>
      <c r="N83" s="39"/>
      <c r="O83" s="39"/>
      <c r="P83" s="39"/>
      <c r="Q83" s="39"/>
      <c r="S83" s="14"/>
      <c r="T83" s="14"/>
    </row>
    <row r="84" spans="1:20">
      <c r="A84" s="33"/>
      <c r="B84" s="33"/>
      <c r="C84" s="34">
        <v>1</v>
      </c>
      <c r="D84" s="38">
        <f ca="1" t="shared" ref="D84:G84" si="36">RANDBETWEEN(95000000,105000000)*0.00000001*D$83/12</f>
        <v>504691.727661795</v>
      </c>
      <c r="E84" s="38">
        <f ca="1">RANDBETWEEN(95000000,105000000)*0.00000001*E$83/12</f>
        <v>816977.667211901</v>
      </c>
      <c r="F84" s="38">
        <f ca="1">RANDBETWEEN(95000000,105000000)*0.00000001*F$83/12</f>
        <v>180541.846845308</v>
      </c>
      <c r="G84" s="38">
        <f ca="1">RANDBETWEEN(95000000,105000000)*0.00000001*G$83/12</f>
        <v>5756.31553440083</v>
      </c>
      <c r="H84" s="14"/>
      <c r="I84" s="14"/>
      <c r="J84" s="14"/>
      <c r="K84" s="14"/>
      <c r="L84" s="14"/>
      <c r="M84" s="14"/>
      <c r="N84" s="14"/>
      <c r="O84" s="14"/>
      <c r="P84" s="14"/>
      <c r="Q84" s="14"/>
      <c r="S84" s="14"/>
      <c r="T84" s="14"/>
    </row>
    <row r="85" spans="1:20">
      <c r="A85" s="33"/>
      <c r="B85" s="33"/>
      <c r="C85" s="34">
        <v>2</v>
      </c>
      <c r="D85" s="38">
        <f ca="1" t="shared" ref="D85:G85" si="37">RANDBETWEEN(95000000,105000000)*0.00000001*D$83/12</f>
        <v>521334.714909091</v>
      </c>
      <c r="E85" s="38">
        <f ca="1">RANDBETWEEN(95000000,105000000)*0.00000001*E$83/12</f>
        <v>838992.241463773</v>
      </c>
      <c r="F85" s="38">
        <f ca="1">RANDBETWEEN(95000000,105000000)*0.00000001*F$83/12</f>
        <v>177670.509093544</v>
      </c>
      <c r="G85" s="38">
        <f ca="1">RANDBETWEEN(95000000,105000000)*0.00000001*G$83/12</f>
        <v>5793.18918584235</v>
      </c>
      <c r="H85" s="14"/>
      <c r="I85" s="14"/>
      <c r="J85" s="14"/>
      <c r="K85" s="14"/>
      <c r="L85" s="14"/>
      <c r="M85" s="14"/>
      <c r="N85" s="14"/>
      <c r="O85" s="14"/>
      <c r="P85" s="14"/>
      <c r="Q85" s="14"/>
      <c r="S85" s="14"/>
      <c r="T85" s="14"/>
    </row>
    <row r="86" spans="1:20">
      <c r="A86" s="33"/>
      <c r="B86" s="33"/>
      <c r="C86" s="34">
        <v>3</v>
      </c>
      <c r="D86" s="38">
        <f ca="1" t="shared" ref="D86:G86" si="38">RANDBETWEEN(95000000,105000000)*0.00000001*D$83/12</f>
        <v>508053.85221494</v>
      </c>
      <c r="E86" s="38">
        <f ca="1">RANDBETWEEN(95000000,105000000)*0.00000001*E$83/12</f>
        <v>771888.837862688</v>
      </c>
      <c r="F86" s="38">
        <f ca="1">RANDBETWEEN(95000000,105000000)*0.00000001*F$83/12</f>
        <v>172687.081711997</v>
      </c>
      <c r="G86" s="38">
        <f ca="1">RANDBETWEEN(95000000,105000000)*0.00000001*G$83/12</f>
        <v>5637.8807699652</v>
      </c>
      <c r="H86" s="40"/>
      <c r="I86" s="40"/>
      <c r="J86" s="40"/>
      <c r="K86" s="40"/>
      <c r="L86" s="40"/>
      <c r="M86" s="40"/>
      <c r="N86" s="40"/>
      <c r="O86" s="40"/>
      <c r="P86" s="40"/>
      <c r="Q86" s="40"/>
      <c r="S86" s="14"/>
      <c r="T86" s="14"/>
    </row>
    <row r="87" spans="3:20">
      <c r="C87" s="34">
        <v>4</v>
      </c>
      <c r="D87" s="38">
        <f ca="1" t="shared" ref="D87:G87" si="39">RANDBETWEEN(95000000,105000000)*0.00000001*D$83/12</f>
        <v>528252.498707995</v>
      </c>
      <c r="E87" s="38">
        <f ca="1">RANDBETWEEN(95000000,105000000)*0.00000001*E$83/12</f>
        <v>824044.928439073</v>
      </c>
      <c r="F87" s="38">
        <f ca="1">RANDBETWEEN(95000000,105000000)*0.00000001*F$83/12</f>
        <v>170058.289400588</v>
      </c>
      <c r="G87" s="38">
        <f ca="1">RANDBETWEEN(95000000,105000000)*0.00000001*G$83/12</f>
        <v>5544.67092784116</v>
      </c>
      <c r="H87" s="41"/>
      <c r="I87" s="41"/>
      <c r="J87" s="41"/>
      <c r="K87" s="41"/>
      <c r="L87" s="41"/>
      <c r="M87" s="41"/>
      <c r="N87" s="41"/>
      <c r="O87" s="41"/>
      <c r="P87" s="41"/>
      <c r="Q87" s="41"/>
      <c r="R87" s="46"/>
      <c r="S87" s="41"/>
      <c r="T87" s="41"/>
    </row>
    <row r="88" spans="3:7">
      <c r="C88" s="34">
        <v>5</v>
      </c>
      <c r="D88" s="38">
        <f ca="1" t="shared" ref="D88:G88" si="40">RANDBETWEEN(95000000,105000000)*0.00000001*D$83/12</f>
        <v>522397.135125394</v>
      </c>
      <c r="E88" s="38">
        <f ca="1">RANDBETWEEN(95000000,105000000)*0.00000001*E$83/12</f>
        <v>790009.499971035</v>
      </c>
      <c r="F88" s="38">
        <f ca="1">RANDBETWEEN(95000000,105000000)*0.00000001*F$83/12</f>
        <v>171064.191958214</v>
      </c>
      <c r="G88" s="38">
        <f ca="1">RANDBETWEEN(95000000,105000000)*0.00000001*G$83/12</f>
        <v>5815.68581402732</v>
      </c>
    </row>
    <row r="89" spans="3:7">
      <c r="C89" s="34">
        <v>6</v>
      </c>
      <c r="D89" s="38">
        <f ca="1" t="shared" ref="D89:G89" si="41">RANDBETWEEN(95000000,105000000)*0.00000001*D$83/12</f>
        <v>499916.158854354</v>
      </c>
      <c r="E89" s="38">
        <f ca="1">RANDBETWEEN(95000000,105000000)*0.00000001*E$83/12</f>
        <v>830461.457727925</v>
      </c>
      <c r="F89" s="38">
        <f ca="1">RANDBETWEEN(95000000,105000000)*0.00000001*F$83/12</f>
        <v>178200.171448984</v>
      </c>
      <c r="G89" s="38">
        <f ca="1">RANDBETWEEN(95000000,105000000)*0.00000001*G$83/12</f>
        <v>6099.17715209484</v>
      </c>
    </row>
    <row r="90" spans="3:7">
      <c r="C90" s="34">
        <v>7</v>
      </c>
      <c r="D90" s="38">
        <f ca="1" t="shared" ref="D90:G90" si="42">RANDBETWEEN(95000000,105000000)*0.00000001*D$83/12</f>
        <v>507782.680998796</v>
      </c>
      <c r="E90" s="38">
        <f ca="1">RANDBETWEEN(95000000,105000000)*0.00000001*E$83/12</f>
        <v>827315.997729511</v>
      </c>
      <c r="F90" s="38">
        <f ca="1">RANDBETWEEN(95000000,105000000)*0.00000001*F$83/12</f>
        <v>175905.603493606</v>
      </c>
      <c r="G90" s="38">
        <f ca="1">RANDBETWEEN(95000000,105000000)*0.00000001*G$83/12</f>
        <v>5916.29901751489</v>
      </c>
    </row>
    <row r="91" spans="3:7">
      <c r="C91" s="34">
        <v>8</v>
      </c>
      <c r="D91" s="38">
        <f ca="1" t="shared" ref="D91:G91" si="43">RANDBETWEEN(95000000,105000000)*0.00000001*D$83/12</f>
        <v>507097.93123287</v>
      </c>
      <c r="E91" s="38">
        <f ca="1">RANDBETWEEN(95000000,105000000)*0.00000001*E$83/12</f>
        <v>797290.703325691</v>
      </c>
      <c r="F91" s="38">
        <f ca="1">RANDBETWEEN(95000000,105000000)*0.00000001*F$83/12</f>
        <v>181971.794588363</v>
      </c>
      <c r="G91" s="38">
        <f ca="1">RANDBETWEEN(95000000,105000000)*0.00000001*G$83/12</f>
        <v>5681.20347193149</v>
      </c>
    </row>
    <row r="92" spans="3:17">
      <c r="C92" s="34">
        <v>9</v>
      </c>
      <c r="D92" s="38">
        <f ca="1" t="shared" ref="D92:G92" si="44">RANDBETWEEN(95000000,105000000)*0.00000001*D$83/12</f>
        <v>515315.080921569</v>
      </c>
      <c r="E92" s="38">
        <f ca="1">RANDBETWEEN(95000000,105000000)*0.00000001*E$83/12</f>
        <v>802351.299499458</v>
      </c>
      <c r="F92" s="38">
        <f ca="1">RANDBETWEEN(95000000,105000000)*0.00000001*F$83/12</f>
        <v>165192.018791312</v>
      </c>
      <c r="G92" s="38">
        <f ca="1">RANDBETWEEN(95000000,105000000)*0.00000001*G$83/12</f>
        <v>6059.24269403933</v>
      </c>
      <c r="H92" s="42"/>
      <c r="I92" s="42"/>
      <c r="J92" s="42"/>
      <c r="K92" s="42"/>
      <c r="L92" s="42"/>
      <c r="M92" s="42"/>
      <c r="N92" s="42"/>
      <c r="O92" s="42"/>
      <c r="P92" s="42"/>
      <c r="Q92" s="42"/>
    </row>
    <row r="93" spans="3:7">
      <c r="C93" s="34">
        <v>10</v>
      </c>
      <c r="D93" s="38">
        <f ca="1" t="shared" ref="D93:G93" si="45">RANDBETWEEN(95000000,105000000)*0.00000001*D$83/12</f>
        <v>510541.875826787</v>
      </c>
      <c r="E93" s="38">
        <f ca="1">RANDBETWEEN(95000000,105000000)*0.00000001*E$83/12</f>
        <v>814515.670482473</v>
      </c>
      <c r="F93" s="38">
        <f ca="1">RANDBETWEEN(95000000,105000000)*0.00000001*F$83/12</f>
        <v>172293.911350328</v>
      </c>
      <c r="G93" s="38">
        <f ca="1">RANDBETWEEN(95000000,105000000)*0.00000001*G$83/12</f>
        <v>5960.96302818681</v>
      </c>
    </row>
    <row r="94" spans="3:7">
      <c r="C94" s="34">
        <v>11</v>
      </c>
      <c r="D94" s="38">
        <f ca="1" t="shared" ref="D94:G94" si="46">RANDBETWEEN(95000000,105000000)*0.00000001*D$83/12</f>
        <v>512019.475817577</v>
      </c>
      <c r="E94" s="38">
        <f ca="1">RANDBETWEEN(95000000,105000000)*0.00000001*E$83/12</f>
        <v>837572.451738908</v>
      </c>
      <c r="F94" s="38">
        <f ca="1">RANDBETWEEN(95000000,105000000)*0.00000001*F$83/12</f>
        <v>178186.262743263</v>
      </c>
      <c r="G94" s="38">
        <f ca="1">RANDBETWEEN(95000000,105000000)*0.00000001*G$83/12</f>
        <v>6093.71012178276</v>
      </c>
    </row>
    <row r="95" spans="3:7">
      <c r="C95" s="34">
        <v>12</v>
      </c>
      <c r="D95" s="38">
        <f ca="1" t="shared" ref="D95:G95" si="47">D83-D84-D85-D86-D87-D88-D89-D90-D91-D92-D93-D94</f>
        <v>462500.503848832</v>
      </c>
      <c r="E95" s="38">
        <f ca="1">E83-E84-E85-E86-E87-E88-E89-E90-E91-E92-E93-E94</f>
        <v>684888.567467566</v>
      </c>
      <c r="F95" s="38">
        <f ca="1">F83-F84-F85-F86-F87-F88-F89-F90-F91-F92-F93-F94</f>
        <v>162012.730614493</v>
      </c>
      <c r="G95" s="38">
        <f ca="1">G83-G84-G85-G86-G87-G88-G89-G90-G91-G92-G93-G94</f>
        <v>5644.29120237302</v>
      </c>
    </row>
    <row r="98" spans="4:7">
      <c r="D98" s="43">
        <v>5431674.41</v>
      </c>
      <c r="E98" s="43">
        <v>10332960.06</v>
      </c>
      <c r="F98" s="43">
        <v>1494308.5</v>
      </c>
      <c r="G98" s="43">
        <v>37057.03</v>
      </c>
    </row>
    <row r="99" spans="4:7">
      <c r="D99" s="43">
        <v>457393.69</v>
      </c>
      <c r="E99" s="43">
        <v>862421.7</v>
      </c>
      <c r="F99" s="43">
        <v>129128.92</v>
      </c>
      <c r="G99" s="38">
        <v>6345.73</v>
      </c>
    </row>
    <row r="100" spans="4:7">
      <c r="D100" s="43">
        <v>444805.13</v>
      </c>
      <c r="E100" s="43">
        <v>850237.3</v>
      </c>
      <c r="F100" s="43">
        <v>120609.58</v>
      </c>
      <c r="G100" s="38">
        <v>6394.63</v>
      </c>
    </row>
    <row r="101" spans="4:7">
      <c r="D101" s="43">
        <v>457733.34</v>
      </c>
      <c r="E101" s="43">
        <v>861872.38</v>
      </c>
      <c r="F101" s="43">
        <v>128787.47</v>
      </c>
      <c r="G101" s="38">
        <v>6141.61</v>
      </c>
    </row>
    <row r="102" spans="4:7">
      <c r="D102" s="43">
        <v>462128.19</v>
      </c>
      <c r="E102" s="43">
        <v>866225.57</v>
      </c>
      <c r="F102" s="43">
        <v>118634.51</v>
      </c>
      <c r="G102" s="38">
        <v>5973.8</v>
      </c>
    </row>
    <row r="103" spans="4:7">
      <c r="D103" s="43">
        <v>451363.62</v>
      </c>
      <c r="E103" s="43">
        <v>836138.19</v>
      </c>
      <c r="F103" s="43">
        <v>129456</v>
      </c>
      <c r="G103" s="38">
        <v>5904.01</v>
      </c>
    </row>
    <row r="104" spans="4:7">
      <c r="D104" s="43">
        <v>438150.3</v>
      </c>
      <c r="E104" s="43">
        <v>852222.84</v>
      </c>
      <c r="F104" s="43">
        <v>119834.93</v>
      </c>
      <c r="G104" s="43">
        <v>6297.25</v>
      </c>
    </row>
    <row r="105" spans="4:7">
      <c r="D105" s="43">
        <v>458867.17</v>
      </c>
      <c r="E105" s="43">
        <v>851327.14</v>
      </c>
      <c r="F105" s="43">
        <v>122154.32</v>
      </c>
      <c r="G105" s="43"/>
    </row>
    <row r="106" spans="4:7">
      <c r="D106" s="43">
        <v>445055.46</v>
      </c>
      <c r="E106" s="43">
        <v>882586.37</v>
      </c>
      <c r="F106" s="43">
        <v>129405.93</v>
      </c>
      <c r="G106" s="43"/>
    </row>
    <row r="107" spans="4:7">
      <c r="D107" s="43">
        <v>453312.49</v>
      </c>
      <c r="E107" s="43">
        <v>878933.68</v>
      </c>
      <c r="F107" s="43">
        <v>121026.6</v>
      </c>
      <c r="G107" s="43"/>
    </row>
    <row r="108" spans="4:7">
      <c r="D108" s="43">
        <v>445836.92</v>
      </c>
      <c r="E108" s="43">
        <v>842349.19</v>
      </c>
      <c r="F108" s="43">
        <v>123661.73</v>
      </c>
      <c r="G108" s="43"/>
    </row>
    <row r="109" spans="4:7">
      <c r="D109" s="43">
        <v>459889.67</v>
      </c>
      <c r="E109" s="43">
        <v>857853.17</v>
      </c>
      <c r="F109" s="43">
        <v>123420.66</v>
      </c>
      <c r="G109" s="43"/>
    </row>
    <row r="110" spans="4:7">
      <c r="D110" s="43">
        <v>457138.43</v>
      </c>
      <c r="E110" s="43">
        <v>890792.53</v>
      </c>
      <c r="F110" s="43">
        <v>128187.85</v>
      </c>
      <c r="G110" s="43"/>
    </row>
    <row r="116" spans="7:7">
      <c r="G116" s="38"/>
    </row>
    <row r="117" spans="7:7">
      <c r="G117" s="38"/>
    </row>
    <row r="118" spans="7:7">
      <c r="G118" s="38"/>
    </row>
    <row r="119" spans="7:7">
      <c r="G119" s="38"/>
    </row>
    <row r="120" spans="7:7">
      <c r="G120" s="38"/>
    </row>
    <row r="121" spans="7:7">
      <c r="G121" s="38"/>
    </row>
    <row r="122" spans="7:7">
      <c r="G122" s="38"/>
    </row>
    <row r="123" spans="7:7">
      <c r="G123" s="38"/>
    </row>
    <row r="124" spans="7:7">
      <c r="G124" s="38"/>
    </row>
    <row r="125" spans="7:7">
      <c r="G125" s="38"/>
    </row>
    <row r="126" spans="7:7">
      <c r="G126" s="38"/>
    </row>
    <row r="127" spans="7:7">
      <c r="G127" s="38"/>
    </row>
    <row r="128" spans="7:7">
      <c r="G128" s="38"/>
    </row>
  </sheetData>
  <autoFilter ref="A4:Y78"/>
  <mergeCells count="21">
    <mergeCell ref="A1:H1"/>
    <mergeCell ref="D2:H2"/>
    <mergeCell ref="A2:A3"/>
    <mergeCell ref="B2:B4"/>
    <mergeCell ref="C2:C4"/>
    <mergeCell ref="D3:D4"/>
    <mergeCell ref="E3:E4"/>
    <mergeCell ref="F3:F4"/>
    <mergeCell ref="G3:G4"/>
    <mergeCell ref="H3:H4"/>
    <mergeCell ref="I2:I4"/>
    <mergeCell ref="J2:J4"/>
    <mergeCell ref="K2:K4"/>
    <mergeCell ref="L2:L4"/>
    <mergeCell ref="M2:M4"/>
    <mergeCell ref="N2:N4"/>
    <mergeCell ref="O2:O4"/>
    <mergeCell ref="P2:P4"/>
    <mergeCell ref="Q2:Q4"/>
    <mergeCell ref="R1:R4"/>
    <mergeCell ref="S2:S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1:Y128"/>
  <sheetViews>
    <sheetView zoomScale="70" zoomScaleNormal="70" workbookViewId="0">
      <pane xSplit="3" ySplit="4" topLeftCell="K5" activePane="bottomRight" state="frozen"/>
      <selection/>
      <selection pane="topRight"/>
      <selection pane="bottomLeft"/>
      <selection pane="bottomRight" activeCell="N11" sqref="N11"/>
    </sheetView>
  </sheetViews>
  <sheetFormatPr defaultColWidth="9" defaultRowHeight="13.5"/>
  <cols>
    <col min="1" max="1" width="8.25" style="11" customWidth="1"/>
    <col min="2" max="2" width="11.125" style="11" customWidth="1"/>
    <col min="3" max="3" width="33.375" style="12" customWidth="1"/>
    <col min="4" max="7" width="17.375" style="11" customWidth="1"/>
    <col min="8" max="17" width="19.875" style="11" customWidth="1"/>
    <col min="18" max="18" width="17.75" style="13" customWidth="1"/>
    <col min="19" max="19" width="19.75" style="11" hidden="1" customWidth="1"/>
    <col min="20" max="20" width="19.75" style="11" customWidth="1"/>
    <col min="21" max="25" width="10.125" style="11" customWidth="1"/>
    <col min="26" max="16384" width="9" style="14"/>
  </cols>
  <sheetData>
    <row r="1" ht="36.75" customHeight="1" spans="1:20">
      <c r="A1" s="15" t="s">
        <v>78</v>
      </c>
      <c r="B1" s="15"/>
      <c r="C1" s="15"/>
      <c r="D1" s="15"/>
      <c r="E1" s="15"/>
      <c r="F1" s="15"/>
      <c r="G1" s="15"/>
      <c r="H1" s="15"/>
      <c r="I1" s="47" t="s">
        <v>79</v>
      </c>
      <c r="J1" s="47" t="s">
        <v>80</v>
      </c>
      <c r="K1" s="47" t="s">
        <v>81</v>
      </c>
      <c r="L1" s="47" t="s">
        <v>82</v>
      </c>
      <c r="M1" s="47" t="s">
        <v>83</v>
      </c>
      <c r="N1" s="47" t="s">
        <v>84</v>
      </c>
      <c r="O1" s="47" t="s">
        <v>85</v>
      </c>
      <c r="P1" s="47" t="s">
        <v>86</v>
      </c>
      <c r="Q1" s="47" t="s">
        <v>87</v>
      </c>
      <c r="R1" s="17" t="s">
        <v>2</v>
      </c>
      <c r="S1" s="27"/>
      <c r="T1" s="27"/>
    </row>
    <row r="2" ht="21.95" customHeight="1" spans="1:20">
      <c r="A2" s="16" t="s">
        <v>3</v>
      </c>
      <c r="B2" s="16" t="s">
        <v>4</v>
      </c>
      <c r="C2" s="17" t="s">
        <v>5</v>
      </c>
      <c r="D2" s="16" t="s">
        <v>6</v>
      </c>
      <c r="E2" s="16"/>
      <c r="F2" s="16"/>
      <c r="G2" s="16"/>
      <c r="H2" s="16"/>
      <c r="I2" s="17" t="s">
        <v>88</v>
      </c>
      <c r="J2" s="17" t="s">
        <v>89</v>
      </c>
      <c r="K2" s="17" t="s">
        <v>90</v>
      </c>
      <c r="L2" s="17" t="s">
        <v>91</v>
      </c>
      <c r="M2" s="17" t="s">
        <v>92</v>
      </c>
      <c r="N2" s="17" t="s">
        <v>93</v>
      </c>
      <c r="O2" s="17" t="s">
        <v>94</v>
      </c>
      <c r="P2" s="17" t="s">
        <v>95</v>
      </c>
      <c r="Q2" s="17" t="s">
        <v>96</v>
      </c>
      <c r="R2" s="17"/>
      <c r="S2" s="28" t="s">
        <v>2</v>
      </c>
      <c r="T2" s="29"/>
    </row>
    <row r="3" ht="24" customHeight="1" spans="1:20">
      <c r="A3" s="16"/>
      <c r="B3" s="16"/>
      <c r="C3" s="17"/>
      <c r="D3" s="17" t="s">
        <v>22</v>
      </c>
      <c r="E3" s="16" t="s">
        <v>23</v>
      </c>
      <c r="F3" s="16" t="s">
        <v>24</v>
      </c>
      <c r="G3" s="16" t="s">
        <v>25</v>
      </c>
      <c r="H3" s="16" t="s">
        <v>2</v>
      </c>
      <c r="I3" s="17"/>
      <c r="J3" s="17"/>
      <c r="K3" s="17"/>
      <c r="L3" s="17"/>
      <c r="M3" s="17"/>
      <c r="N3" s="17"/>
      <c r="O3" s="17"/>
      <c r="P3" s="17"/>
      <c r="Q3" s="17"/>
      <c r="R3" s="17"/>
      <c r="S3" s="30"/>
      <c r="T3" s="29"/>
    </row>
    <row r="4" ht="24" customHeight="1" spans="1:25">
      <c r="A4" s="16" t="s">
        <v>26</v>
      </c>
      <c r="B4" s="16"/>
      <c r="C4" s="17"/>
      <c r="D4" s="17"/>
      <c r="E4" s="16"/>
      <c r="F4" s="16"/>
      <c r="G4" s="16"/>
      <c r="H4" s="16"/>
      <c r="I4" s="17"/>
      <c r="J4" s="17"/>
      <c r="K4" s="17"/>
      <c r="L4" s="17"/>
      <c r="M4" s="17"/>
      <c r="N4" s="17"/>
      <c r="O4" s="17"/>
      <c r="P4" s="17"/>
      <c r="Q4" s="17"/>
      <c r="R4" s="17"/>
      <c r="S4" s="31"/>
      <c r="T4" s="29"/>
      <c r="U4" s="11" t="s">
        <v>53</v>
      </c>
      <c r="V4" s="11" t="s">
        <v>54</v>
      </c>
      <c r="W4" s="11" t="s">
        <v>55</v>
      </c>
      <c r="X4" s="11" t="s">
        <v>24</v>
      </c>
      <c r="Y4" s="11" t="s">
        <v>25</v>
      </c>
    </row>
    <row r="5" ht="16.5" customHeight="1" spans="1:23">
      <c r="A5" s="6">
        <v>1</v>
      </c>
      <c r="B5" s="6">
        <v>47</v>
      </c>
      <c r="C5" s="18" t="s">
        <v>27</v>
      </c>
      <c r="D5" s="19">
        <v>547026.95</v>
      </c>
      <c r="E5" s="19"/>
      <c r="F5" s="19"/>
      <c r="G5" s="19"/>
      <c r="H5" s="20">
        <v>547026.95</v>
      </c>
      <c r="I5" s="20">
        <f t="shared" ref="I5:I8" si="0">H5</f>
        <v>547026.95</v>
      </c>
      <c r="J5" s="20"/>
      <c r="K5" s="20"/>
      <c r="L5" s="20"/>
      <c r="M5" s="20"/>
      <c r="N5" s="20"/>
      <c r="O5" s="20"/>
      <c r="P5" s="26"/>
      <c r="Q5" s="26"/>
      <c r="R5" s="26">
        <f t="shared" ref="R5:R68" si="1">SUM(I5:Q5)</f>
        <v>547026.95</v>
      </c>
      <c r="S5" s="24" t="e">
        <f>SUM(#REF!)</f>
        <v>#REF!</v>
      </c>
      <c r="T5" s="32">
        <f>B5+30</f>
        <v>77</v>
      </c>
      <c r="U5" s="11">
        <v>1</v>
      </c>
      <c r="W5" s="11">
        <v>1</v>
      </c>
    </row>
    <row r="6" ht="16.5" customHeight="1" spans="1:22">
      <c r="A6" s="6">
        <v>1</v>
      </c>
      <c r="B6" s="6">
        <v>96</v>
      </c>
      <c r="C6" s="18" t="s">
        <v>28</v>
      </c>
      <c r="D6" s="19"/>
      <c r="E6" s="19">
        <v>732801.82</v>
      </c>
      <c r="F6" s="19"/>
      <c r="G6" s="19"/>
      <c r="H6" s="20">
        <v>732801.82</v>
      </c>
      <c r="I6" s="20">
        <f>H6</f>
        <v>732801.82</v>
      </c>
      <c r="J6" s="20"/>
      <c r="K6" s="20"/>
      <c r="L6" s="20"/>
      <c r="M6" s="20"/>
      <c r="N6" s="20"/>
      <c r="O6" s="20"/>
      <c r="P6" s="26"/>
      <c r="Q6" s="26"/>
      <c r="R6" s="26">
        <f>SUM(I6:Q6)</f>
        <v>732801.82</v>
      </c>
      <c r="S6" s="24" t="e">
        <f>SUM(#REF!)</f>
        <v>#REF!</v>
      </c>
      <c r="T6" s="32">
        <f t="shared" ref="T6:T37" si="2">B6+30</f>
        <v>126</v>
      </c>
      <c r="U6" s="11">
        <v>2</v>
      </c>
      <c r="V6" s="11">
        <v>1</v>
      </c>
    </row>
    <row r="7" ht="16.5" customHeight="1" spans="1:24">
      <c r="A7" s="6">
        <v>1</v>
      </c>
      <c r="B7" s="6">
        <v>92</v>
      </c>
      <c r="C7" s="18" t="s">
        <v>29</v>
      </c>
      <c r="D7" s="19"/>
      <c r="E7" s="19"/>
      <c r="F7" s="19">
        <v>136810.47</v>
      </c>
      <c r="G7" s="19"/>
      <c r="H7" s="20">
        <v>136810.47</v>
      </c>
      <c r="I7" s="20">
        <f>H7</f>
        <v>136810.47</v>
      </c>
      <c r="J7" s="20"/>
      <c r="K7" s="20"/>
      <c r="L7" s="20"/>
      <c r="M7" s="20"/>
      <c r="N7" s="20"/>
      <c r="O7" s="20"/>
      <c r="P7" s="26"/>
      <c r="Q7" s="26"/>
      <c r="R7" s="26">
        <f>SUM(I7:Q7)</f>
        <v>136810.47</v>
      </c>
      <c r="S7" s="24" t="e">
        <f>SUM(#REF!)</f>
        <v>#REF!</v>
      </c>
      <c r="T7" s="32">
        <f>B7+30</f>
        <v>122</v>
      </c>
      <c r="U7" s="11">
        <v>3</v>
      </c>
      <c r="X7" s="11">
        <v>1</v>
      </c>
    </row>
    <row r="8" ht="16.5" customHeight="1" spans="1:25">
      <c r="A8" s="6">
        <v>1</v>
      </c>
      <c r="B8" s="6">
        <v>109</v>
      </c>
      <c r="C8" s="18" t="s">
        <v>30</v>
      </c>
      <c r="D8" s="19"/>
      <c r="E8" s="19"/>
      <c r="F8" s="19"/>
      <c r="G8" s="19">
        <v>3750.43</v>
      </c>
      <c r="H8" s="20">
        <v>3750.43</v>
      </c>
      <c r="I8" s="20">
        <f>H8</f>
        <v>3750.43</v>
      </c>
      <c r="J8" s="20"/>
      <c r="K8" s="20"/>
      <c r="L8" s="20"/>
      <c r="M8" s="20"/>
      <c r="N8" s="20"/>
      <c r="O8" s="20"/>
      <c r="P8" s="26"/>
      <c r="Q8" s="26"/>
      <c r="R8" s="26">
        <f>SUM(I8:Q8)</f>
        <v>3750.43</v>
      </c>
      <c r="S8" s="24" t="e">
        <f>SUM(#REF!)</f>
        <v>#REF!</v>
      </c>
      <c r="T8" s="32">
        <f>B8+30</f>
        <v>139</v>
      </c>
      <c r="U8" s="11">
        <v>4</v>
      </c>
      <c r="Y8" s="11">
        <v>1</v>
      </c>
    </row>
    <row r="9" s="9" customFormat="1" ht="16.5" customHeight="1" spans="1:25">
      <c r="A9" s="21"/>
      <c r="B9" s="6"/>
      <c r="C9" s="5" t="s">
        <v>31</v>
      </c>
      <c r="D9" s="22">
        <v>547026.95</v>
      </c>
      <c r="E9" s="22">
        <v>732801.82</v>
      </c>
      <c r="F9" s="22">
        <v>136810.47</v>
      </c>
      <c r="G9" s="22">
        <v>3750.43</v>
      </c>
      <c r="H9" s="23">
        <v>1420389.67</v>
      </c>
      <c r="I9" s="20"/>
      <c r="J9" s="20"/>
      <c r="K9" s="20"/>
      <c r="L9" s="20"/>
      <c r="M9" s="20"/>
      <c r="N9" s="20"/>
      <c r="O9" s="20"/>
      <c r="P9" s="26"/>
      <c r="Q9" s="26"/>
      <c r="R9" s="26"/>
      <c r="S9" s="24" t="e">
        <f>SUM(#REF!)</f>
        <v>#REF!</v>
      </c>
      <c r="T9" s="32">
        <f>B9+30</f>
        <v>30</v>
      </c>
      <c r="U9" s="11">
        <v>5</v>
      </c>
      <c r="V9" s="10"/>
      <c r="W9" s="10"/>
      <c r="X9" s="10"/>
      <c r="Y9" s="10"/>
    </row>
    <row r="10" s="9" customFormat="1" ht="16.5" customHeight="1" spans="1:25">
      <c r="A10" s="21"/>
      <c r="B10" s="6"/>
      <c r="C10" s="5" t="s">
        <v>32</v>
      </c>
      <c r="D10" s="22">
        <v>547026.95</v>
      </c>
      <c r="E10" s="22">
        <v>732801.82</v>
      </c>
      <c r="F10" s="22">
        <v>136810.47</v>
      </c>
      <c r="G10" s="22">
        <v>3750.43</v>
      </c>
      <c r="H10" s="23">
        <v>1420389.67</v>
      </c>
      <c r="I10" s="20"/>
      <c r="J10" s="20"/>
      <c r="K10" s="20"/>
      <c r="L10" s="20"/>
      <c r="M10" s="20"/>
      <c r="N10" s="20"/>
      <c r="O10" s="20"/>
      <c r="P10" s="26"/>
      <c r="Q10" s="26"/>
      <c r="R10" s="26"/>
      <c r="S10" s="24" t="e">
        <f>SUM(#REF!)</f>
        <v>#REF!</v>
      </c>
      <c r="T10" s="32">
        <f>B10+30</f>
        <v>30</v>
      </c>
      <c r="U10" s="11">
        <v>6</v>
      </c>
      <c r="V10" s="10"/>
      <c r="W10" s="10"/>
      <c r="X10" s="10"/>
      <c r="Y10" s="10"/>
    </row>
    <row r="11" ht="16.5" customHeight="1" spans="1:23">
      <c r="A11" s="6">
        <v>2</v>
      </c>
      <c r="B11" s="6">
        <v>44</v>
      </c>
      <c r="C11" s="18" t="s">
        <v>27</v>
      </c>
      <c r="D11" s="19">
        <v>527003.08</v>
      </c>
      <c r="E11" s="19"/>
      <c r="F11" s="19"/>
      <c r="G11" s="19"/>
      <c r="H11" s="20">
        <v>527003.08</v>
      </c>
      <c r="I11" s="20">
        <f t="shared" ref="I11:I14" si="3">H11*0.54</f>
        <v>284581.6632</v>
      </c>
      <c r="J11" s="20">
        <f t="shared" ref="J11:J14" si="4">H11-I11</f>
        <v>242421.4168</v>
      </c>
      <c r="K11" s="20"/>
      <c r="L11" s="20"/>
      <c r="M11" s="20"/>
      <c r="N11" s="20"/>
      <c r="O11" s="20"/>
      <c r="P11" s="26"/>
      <c r="Q11" s="26"/>
      <c r="R11" s="26">
        <f>SUM(I11:Q11)</f>
        <v>527003.08</v>
      </c>
      <c r="S11" s="24" t="e">
        <f>SUM(#REF!)</f>
        <v>#REF!</v>
      </c>
      <c r="T11" s="32">
        <f>B11+30</f>
        <v>74</v>
      </c>
      <c r="U11" s="11">
        <v>7</v>
      </c>
      <c r="W11" s="11">
        <v>2</v>
      </c>
    </row>
    <row r="12" ht="16.5" customHeight="1" spans="1:22">
      <c r="A12" s="6">
        <v>2</v>
      </c>
      <c r="B12" s="6">
        <v>63</v>
      </c>
      <c r="C12" s="18" t="s">
        <v>28</v>
      </c>
      <c r="D12" s="19"/>
      <c r="E12" s="19">
        <v>769760.8</v>
      </c>
      <c r="F12" s="19"/>
      <c r="G12" s="19"/>
      <c r="H12" s="20">
        <v>769760.8</v>
      </c>
      <c r="I12" s="20">
        <f>H12*0.54</f>
        <v>415670.832</v>
      </c>
      <c r="J12" s="20">
        <f>H12-I12</f>
        <v>354089.968</v>
      </c>
      <c r="K12" s="20"/>
      <c r="L12" s="20"/>
      <c r="M12" s="20"/>
      <c r="N12" s="20"/>
      <c r="O12" s="20"/>
      <c r="P12" s="26"/>
      <c r="Q12" s="26"/>
      <c r="R12" s="26">
        <f>SUM(I12:Q12)</f>
        <v>769760.8</v>
      </c>
      <c r="S12" s="24" t="e">
        <f>SUM(#REF!)</f>
        <v>#REF!</v>
      </c>
      <c r="T12" s="32">
        <f>B12+30</f>
        <v>93</v>
      </c>
      <c r="U12" s="11">
        <v>8</v>
      </c>
      <c r="V12" s="11">
        <v>2</v>
      </c>
    </row>
    <row r="13" ht="16.5" customHeight="1" spans="1:24">
      <c r="A13" s="6">
        <v>2</v>
      </c>
      <c r="B13" s="6">
        <v>64</v>
      </c>
      <c r="C13" s="18" t="s">
        <v>29</v>
      </c>
      <c r="D13" s="19"/>
      <c r="E13" s="19"/>
      <c r="F13" s="19">
        <v>139523.4</v>
      </c>
      <c r="G13" s="19"/>
      <c r="H13" s="20">
        <v>139523.4</v>
      </c>
      <c r="I13" s="20">
        <f>H13*0.54</f>
        <v>75342.636</v>
      </c>
      <c r="J13" s="20">
        <f>H13-I13</f>
        <v>64180.764</v>
      </c>
      <c r="K13" s="20"/>
      <c r="L13" s="20"/>
      <c r="M13" s="20"/>
      <c r="N13" s="20"/>
      <c r="O13" s="20"/>
      <c r="P13" s="26"/>
      <c r="Q13" s="26"/>
      <c r="R13" s="26">
        <f>SUM(I13:Q13)</f>
        <v>139523.4</v>
      </c>
      <c r="S13" s="24" t="e">
        <f>SUM(#REF!)</f>
        <v>#REF!</v>
      </c>
      <c r="T13" s="32">
        <f>B13+30</f>
        <v>94</v>
      </c>
      <c r="U13" s="11">
        <v>9</v>
      </c>
      <c r="X13" s="11">
        <v>2</v>
      </c>
    </row>
    <row r="14" ht="16.5" customHeight="1" spans="1:20">
      <c r="A14" s="6">
        <v>2</v>
      </c>
      <c r="B14" s="6">
        <v>74</v>
      </c>
      <c r="C14" s="18" t="s">
        <v>30</v>
      </c>
      <c r="D14" s="19"/>
      <c r="E14" s="19"/>
      <c r="F14" s="19"/>
      <c r="G14" s="19">
        <v>3727.91</v>
      </c>
      <c r="H14" s="20">
        <v>3727.91</v>
      </c>
      <c r="I14" s="20">
        <f>H14*0.54</f>
        <v>2013.0714</v>
      </c>
      <c r="J14" s="20">
        <f>H14-I14</f>
        <v>1714.8386</v>
      </c>
      <c r="K14" s="20"/>
      <c r="L14" s="20"/>
      <c r="M14" s="20"/>
      <c r="N14" s="20"/>
      <c r="O14" s="20"/>
      <c r="P14" s="26"/>
      <c r="Q14" s="26"/>
      <c r="R14" s="26">
        <f>SUM(I14:Q14)</f>
        <v>3727.91</v>
      </c>
      <c r="S14" s="24"/>
      <c r="T14" s="32">
        <f>B14+30</f>
        <v>104</v>
      </c>
    </row>
    <row r="15" s="9" customFormat="1" ht="16.5" customHeight="1" spans="1:25">
      <c r="A15" s="21"/>
      <c r="B15" s="6"/>
      <c r="C15" s="5" t="s">
        <v>31</v>
      </c>
      <c r="D15" s="22">
        <v>527003.08</v>
      </c>
      <c r="E15" s="22">
        <v>769760.8</v>
      </c>
      <c r="F15" s="22">
        <v>139523.4</v>
      </c>
      <c r="G15" s="22">
        <v>3727.91</v>
      </c>
      <c r="H15" s="22">
        <v>1440015.19</v>
      </c>
      <c r="I15" s="20"/>
      <c r="J15" s="20"/>
      <c r="K15" s="20"/>
      <c r="L15" s="20"/>
      <c r="M15" s="20"/>
      <c r="N15" s="20"/>
      <c r="O15" s="20"/>
      <c r="P15" s="26"/>
      <c r="Q15" s="26"/>
      <c r="R15" s="26"/>
      <c r="S15" s="24" t="e">
        <f>SUM(#REF!)</f>
        <v>#REF!</v>
      </c>
      <c r="T15" s="32">
        <f>B15+30</f>
        <v>30</v>
      </c>
      <c r="U15" s="11">
        <v>10</v>
      </c>
      <c r="V15" s="10"/>
      <c r="W15" s="10"/>
      <c r="X15" s="10"/>
      <c r="Y15" s="10"/>
    </row>
    <row r="16" s="9" customFormat="1" ht="16.5" customHeight="1" spans="1:25">
      <c r="A16" s="21"/>
      <c r="B16" s="6"/>
      <c r="C16" s="5" t="s">
        <v>32</v>
      </c>
      <c r="D16" s="22">
        <v>1074030.03</v>
      </c>
      <c r="E16" s="22">
        <v>1502562.62</v>
      </c>
      <c r="F16" s="22">
        <v>276333.87</v>
      </c>
      <c r="G16" s="22">
        <v>7478.34</v>
      </c>
      <c r="H16" s="23">
        <v>2860404.86</v>
      </c>
      <c r="I16" s="20"/>
      <c r="J16" s="20"/>
      <c r="K16" s="20"/>
      <c r="L16" s="20"/>
      <c r="M16" s="20"/>
      <c r="N16" s="20"/>
      <c r="O16" s="20"/>
      <c r="P16" s="26"/>
      <c r="Q16" s="26"/>
      <c r="R16" s="26"/>
      <c r="S16" s="24" t="e">
        <f>SUM(#REF!)</f>
        <v>#REF!</v>
      </c>
      <c r="T16" s="32">
        <f>B16+30</f>
        <v>30</v>
      </c>
      <c r="U16" s="11">
        <v>11</v>
      </c>
      <c r="V16" s="10"/>
      <c r="W16" s="10"/>
      <c r="X16" s="10"/>
      <c r="Y16" s="10"/>
    </row>
    <row r="17" ht="16.5" customHeight="1" spans="1:23">
      <c r="A17" s="6">
        <v>3</v>
      </c>
      <c r="B17" s="6">
        <v>43</v>
      </c>
      <c r="C17" s="18" t="s">
        <v>27</v>
      </c>
      <c r="D17" s="19">
        <v>550779.14</v>
      </c>
      <c r="E17" s="19"/>
      <c r="F17" s="19"/>
      <c r="G17" s="19"/>
      <c r="H17" s="20">
        <v>550779.14</v>
      </c>
      <c r="I17" s="20">
        <f t="shared" ref="I17:I20" si="5">H17*0.31</f>
        <v>170741.5334</v>
      </c>
      <c r="J17" s="20">
        <f t="shared" ref="J17:J20" si="6">H17*0.32</f>
        <v>176249.3248</v>
      </c>
      <c r="K17" s="20">
        <f t="shared" ref="K17:K20" si="7">H17-I17-J17</f>
        <v>203788.2818</v>
      </c>
      <c r="L17" s="20"/>
      <c r="M17" s="20"/>
      <c r="N17" s="20"/>
      <c r="O17" s="20"/>
      <c r="P17" s="26"/>
      <c r="Q17" s="26"/>
      <c r="R17" s="26">
        <f>SUM(I17:Q17)</f>
        <v>550779.14</v>
      </c>
      <c r="S17" s="24" t="e">
        <f>SUM(#REF!)</f>
        <v>#REF!</v>
      </c>
      <c r="T17" s="32">
        <f>B17+30</f>
        <v>73</v>
      </c>
      <c r="U17" s="11">
        <v>12</v>
      </c>
      <c r="W17" s="11">
        <v>3</v>
      </c>
    </row>
    <row r="18" ht="16.5" customHeight="1" spans="1:22">
      <c r="A18" s="6">
        <v>3</v>
      </c>
      <c r="B18" s="6">
        <v>77</v>
      </c>
      <c r="C18" s="18" t="s">
        <v>28</v>
      </c>
      <c r="D18" s="19"/>
      <c r="E18" s="19">
        <v>740331.21</v>
      </c>
      <c r="F18" s="19"/>
      <c r="G18" s="19"/>
      <c r="H18" s="20">
        <v>740331.21</v>
      </c>
      <c r="I18" s="20">
        <f>H18*0.31</f>
        <v>229502.6751</v>
      </c>
      <c r="J18" s="20">
        <f>H18*0.32</f>
        <v>236905.9872</v>
      </c>
      <c r="K18" s="20">
        <f>H18-I18-J18</f>
        <v>273922.5477</v>
      </c>
      <c r="L18" s="20"/>
      <c r="M18" s="20"/>
      <c r="N18" s="20"/>
      <c r="O18" s="20"/>
      <c r="P18" s="26"/>
      <c r="Q18" s="26"/>
      <c r="R18" s="26">
        <f>SUM(I18:Q18)</f>
        <v>740331.21</v>
      </c>
      <c r="S18" s="24" t="e">
        <f>SUM(#REF!)</f>
        <v>#REF!</v>
      </c>
      <c r="T18" s="32">
        <f>B18+30</f>
        <v>107</v>
      </c>
      <c r="U18" s="11">
        <v>13</v>
      </c>
      <c r="V18" s="11">
        <v>3</v>
      </c>
    </row>
    <row r="19" ht="16.5" customHeight="1" spans="1:24">
      <c r="A19" s="6">
        <v>3</v>
      </c>
      <c r="B19" s="6">
        <v>44</v>
      </c>
      <c r="C19" s="18" t="s">
        <v>29</v>
      </c>
      <c r="D19" s="19"/>
      <c r="E19" s="19"/>
      <c r="F19" s="19">
        <v>138606.21</v>
      </c>
      <c r="G19" s="19"/>
      <c r="H19" s="20">
        <v>138606.21</v>
      </c>
      <c r="I19" s="20">
        <f>H19*0.31</f>
        <v>42967.9251</v>
      </c>
      <c r="J19" s="20">
        <f>H19*0.32</f>
        <v>44353.9872</v>
      </c>
      <c r="K19" s="20">
        <f>H19-I19-J19</f>
        <v>51284.2977</v>
      </c>
      <c r="L19" s="20"/>
      <c r="M19" s="20"/>
      <c r="N19" s="20"/>
      <c r="O19" s="20"/>
      <c r="P19" s="26"/>
      <c r="Q19" s="26"/>
      <c r="R19" s="26">
        <f>SUM(I19:Q19)</f>
        <v>138606.21</v>
      </c>
      <c r="S19" s="24" t="e">
        <f>SUM(#REF!)</f>
        <v>#REF!</v>
      </c>
      <c r="T19" s="32">
        <f>B19+30</f>
        <v>74</v>
      </c>
      <c r="U19" s="11">
        <v>14</v>
      </c>
      <c r="X19" s="11">
        <v>3</v>
      </c>
    </row>
    <row r="20" ht="16.5" customHeight="1" spans="1:25">
      <c r="A20" s="6">
        <v>3</v>
      </c>
      <c r="B20" s="6">
        <v>45</v>
      </c>
      <c r="C20" s="18" t="s">
        <v>30</v>
      </c>
      <c r="D20" s="19"/>
      <c r="E20" s="19"/>
      <c r="F20" s="19"/>
      <c r="G20" s="19">
        <v>3708.53</v>
      </c>
      <c r="H20" s="20">
        <v>3708.53</v>
      </c>
      <c r="I20" s="20">
        <f>H20*0.31</f>
        <v>1149.6443</v>
      </c>
      <c r="J20" s="20">
        <f>H20*0.32</f>
        <v>1186.7296</v>
      </c>
      <c r="K20" s="20">
        <f>H20-I20-J20</f>
        <v>1372.1561</v>
      </c>
      <c r="L20" s="20"/>
      <c r="M20" s="20"/>
      <c r="N20" s="20"/>
      <c r="O20" s="20"/>
      <c r="P20" s="26"/>
      <c r="Q20" s="26"/>
      <c r="R20" s="26">
        <f>SUM(I20:Q20)</f>
        <v>3708.53</v>
      </c>
      <c r="S20" s="24" t="e">
        <f>SUM(#REF!)</f>
        <v>#REF!</v>
      </c>
      <c r="T20" s="32">
        <f>B20+30</f>
        <v>75</v>
      </c>
      <c r="U20" s="11">
        <v>15</v>
      </c>
      <c r="Y20" s="11">
        <v>2</v>
      </c>
    </row>
    <row r="21" s="9" customFormat="1" ht="16.5" customHeight="1" spans="1:25">
      <c r="A21" s="21"/>
      <c r="B21" s="6"/>
      <c r="C21" s="5" t="s">
        <v>31</v>
      </c>
      <c r="D21" s="22">
        <v>550779.14</v>
      </c>
      <c r="E21" s="22">
        <v>740331.21</v>
      </c>
      <c r="F21" s="22">
        <v>138606.21</v>
      </c>
      <c r="G21" s="22">
        <v>3708.53</v>
      </c>
      <c r="H21" s="23">
        <v>1433425.09</v>
      </c>
      <c r="I21" s="20"/>
      <c r="J21" s="20"/>
      <c r="K21" s="20"/>
      <c r="L21" s="20"/>
      <c r="M21" s="20"/>
      <c r="N21" s="20"/>
      <c r="O21" s="20"/>
      <c r="P21" s="26"/>
      <c r="Q21" s="26"/>
      <c r="R21" s="26"/>
      <c r="S21" s="24" t="e">
        <f>SUM(#REF!)</f>
        <v>#REF!</v>
      </c>
      <c r="T21" s="32">
        <f>B21+30</f>
        <v>30</v>
      </c>
      <c r="U21" s="11">
        <v>16</v>
      </c>
      <c r="V21" s="10"/>
      <c r="W21" s="10"/>
      <c r="X21" s="10"/>
      <c r="Y21" s="10"/>
    </row>
    <row r="22" s="9" customFormat="1" ht="16.5" customHeight="1" spans="1:25">
      <c r="A22" s="21"/>
      <c r="B22" s="6"/>
      <c r="C22" s="5" t="s">
        <v>32</v>
      </c>
      <c r="D22" s="22">
        <v>1624809.17</v>
      </c>
      <c r="E22" s="22">
        <v>2242893.83</v>
      </c>
      <c r="F22" s="22">
        <v>414940.08</v>
      </c>
      <c r="G22" s="22">
        <v>11186.87</v>
      </c>
      <c r="H22" s="23">
        <v>4293829.95</v>
      </c>
      <c r="I22" s="20"/>
      <c r="J22" s="20"/>
      <c r="K22" s="20"/>
      <c r="L22" s="20"/>
      <c r="M22" s="20"/>
      <c r="N22" s="20"/>
      <c r="O22" s="20"/>
      <c r="P22" s="26"/>
      <c r="Q22" s="26"/>
      <c r="R22" s="26"/>
      <c r="S22" s="24" t="e">
        <f>SUM(#REF!)</f>
        <v>#REF!</v>
      </c>
      <c r="T22" s="32">
        <f>B22+30</f>
        <v>30</v>
      </c>
      <c r="U22" s="11">
        <v>17</v>
      </c>
      <c r="V22" s="10"/>
      <c r="W22" s="10"/>
      <c r="X22" s="10"/>
      <c r="Y22" s="10"/>
    </row>
    <row r="23" ht="16.5" customHeight="1" spans="1:23">
      <c r="A23" s="6">
        <v>4</v>
      </c>
      <c r="B23" s="6">
        <v>40</v>
      </c>
      <c r="C23" s="18" t="s">
        <v>27</v>
      </c>
      <c r="D23" s="19">
        <v>530993.76</v>
      </c>
      <c r="E23" s="19"/>
      <c r="F23" s="19"/>
      <c r="G23" s="19"/>
      <c r="H23" s="20">
        <v>530993.76</v>
      </c>
      <c r="I23" s="20">
        <f t="shared" ref="I23:I26" si="8">H23*0.21</f>
        <v>111508.6896</v>
      </c>
      <c r="J23" s="20">
        <f t="shared" ref="J23:J26" si="9">H23*0.19</f>
        <v>100888.8144</v>
      </c>
      <c r="K23" s="20">
        <f t="shared" ref="K23:K26" si="10">H23*0.27</f>
        <v>143368.3152</v>
      </c>
      <c r="L23" s="20">
        <f t="shared" ref="L23:L26" si="11">H23-I23-J23-K23</f>
        <v>175227.9408</v>
      </c>
      <c r="M23" s="20"/>
      <c r="N23" s="20"/>
      <c r="O23" s="20"/>
      <c r="P23" s="26"/>
      <c r="Q23" s="26"/>
      <c r="R23" s="26">
        <f>SUM(I23:Q23)</f>
        <v>530993.76</v>
      </c>
      <c r="S23" s="24" t="e">
        <f>SUM(#REF!)</f>
        <v>#REF!</v>
      </c>
      <c r="T23" s="32">
        <f>B23+30</f>
        <v>70</v>
      </c>
      <c r="U23" s="11">
        <v>18</v>
      </c>
      <c r="W23" s="11">
        <v>4</v>
      </c>
    </row>
    <row r="24" ht="16.5" customHeight="1" spans="1:22">
      <c r="A24" s="6">
        <v>4</v>
      </c>
      <c r="B24" s="6">
        <v>88</v>
      </c>
      <c r="C24" s="18" t="s">
        <v>28</v>
      </c>
      <c r="D24" s="19"/>
      <c r="E24" s="19">
        <v>743439.98</v>
      </c>
      <c r="F24" s="19"/>
      <c r="G24" s="19"/>
      <c r="H24" s="20">
        <v>743439.98</v>
      </c>
      <c r="I24" s="20">
        <f>H24*0.21</f>
        <v>156122.3958</v>
      </c>
      <c r="J24" s="20">
        <f>H24*0.19</f>
        <v>141253.5962</v>
      </c>
      <c r="K24" s="20">
        <f>H24*0.27</f>
        <v>200728.7946</v>
      </c>
      <c r="L24" s="20">
        <f>H24-I24-J24-K24</f>
        <v>245335.1934</v>
      </c>
      <c r="M24" s="20"/>
      <c r="N24" s="20"/>
      <c r="O24" s="20"/>
      <c r="P24" s="26"/>
      <c r="Q24" s="26"/>
      <c r="R24" s="26">
        <f>SUM(I24:Q24)</f>
        <v>743439.98</v>
      </c>
      <c r="S24" s="24" t="e">
        <f>SUM(#REF!)</f>
        <v>#REF!</v>
      </c>
      <c r="T24" s="32">
        <f>B24+30</f>
        <v>118</v>
      </c>
      <c r="U24" s="11">
        <v>19</v>
      </c>
      <c r="V24" s="11">
        <v>4</v>
      </c>
    </row>
    <row r="25" ht="16.5" customHeight="1" spans="1:24">
      <c r="A25" s="6">
        <v>4</v>
      </c>
      <c r="B25" s="6">
        <v>84</v>
      </c>
      <c r="C25" s="18" t="s">
        <v>29</v>
      </c>
      <c r="D25" s="19"/>
      <c r="E25" s="19"/>
      <c r="F25" s="19">
        <v>149769.17</v>
      </c>
      <c r="G25" s="19"/>
      <c r="H25" s="20">
        <v>149769.17</v>
      </c>
      <c r="I25" s="20">
        <f>H25*0.21</f>
        <v>31451.5257</v>
      </c>
      <c r="J25" s="20">
        <f>H25*0.19</f>
        <v>28456.1423</v>
      </c>
      <c r="K25" s="20">
        <f>H25*0.27</f>
        <v>40437.6759</v>
      </c>
      <c r="L25" s="20">
        <f>H25-I25-J25-K25</f>
        <v>49423.8261</v>
      </c>
      <c r="M25" s="20"/>
      <c r="N25" s="20"/>
      <c r="O25" s="20"/>
      <c r="P25" s="26"/>
      <c r="Q25" s="26"/>
      <c r="R25" s="26">
        <f>SUM(I25:Q25)</f>
        <v>149769.17</v>
      </c>
      <c r="S25" s="24" t="e">
        <f>SUM(#REF!)</f>
        <v>#REF!</v>
      </c>
      <c r="T25" s="32">
        <f>B25+30</f>
        <v>114</v>
      </c>
      <c r="U25" s="11">
        <v>20</v>
      </c>
      <c r="X25" s="11">
        <v>4</v>
      </c>
    </row>
    <row r="26" ht="16.5" customHeight="1" spans="1:20">
      <c r="A26" s="6">
        <v>4</v>
      </c>
      <c r="B26" s="6">
        <v>30</v>
      </c>
      <c r="C26" s="18" t="s">
        <v>30</v>
      </c>
      <c r="D26" s="19"/>
      <c r="E26" s="19"/>
      <c r="F26" s="19"/>
      <c r="G26" s="19">
        <v>3751.12</v>
      </c>
      <c r="H26" s="20">
        <v>3751.12</v>
      </c>
      <c r="I26" s="20">
        <f>H26*0.21</f>
        <v>787.7352</v>
      </c>
      <c r="J26" s="20">
        <f>H26*0.19</f>
        <v>712.7128</v>
      </c>
      <c r="K26" s="20">
        <f>H26*0.27</f>
        <v>1012.8024</v>
      </c>
      <c r="L26" s="20">
        <f>H26-I26-J26-K26</f>
        <v>1237.8696</v>
      </c>
      <c r="M26" s="20"/>
      <c r="N26" s="20"/>
      <c r="O26" s="20"/>
      <c r="P26" s="26"/>
      <c r="Q26" s="26"/>
      <c r="R26" s="26">
        <f>SUM(I26:Q26)</f>
        <v>3751.12</v>
      </c>
      <c r="S26" s="24"/>
      <c r="T26" s="32">
        <f>B26+30</f>
        <v>60</v>
      </c>
    </row>
    <row r="27" s="10" customFormat="1" ht="16.5" customHeight="1" spans="1:21">
      <c r="A27" s="21"/>
      <c r="B27" s="6"/>
      <c r="C27" s="5" t="s">
        <v>31</v>
      </c>
      <c r="D27" s="22">
        <v>530993.76</v>
      </c>
      <c r="E27" s="22">
        <v>743439.98</v>
      </c>
      <c r="F27" s="22">
        <v>149769.17</v>
      </c>
      <c r="G27" s="22">
        <v>3751.12</v>
      </c>
      <c r="H27" s="22">
        <v>1427954.03</v>
      </c>
      <c r="I27" s="20"/>
      <c r="J27" s="20"/>
      <c r="K27" s="20"/>
      <c r="L27" s="20"/>
      <c r="M27" s="20"/>
      <c r="N27" s="20"/>
      <c r="O27" s="20"/>
      <c r="P27" s="26"/>
      <c r="Q27" s="26"/>
      <c r="R27" s="26"/>
      <c r="S27" s="24" t="e">
        <f>SUM(#REF!)</f>
        <v>#REF!</v>
      </c>
      <c r="T27" s="32">
        <f>B27+30</f>
        <v>30</v>
      </c>
      <c r="U27" s="11">
        <v>21</v>
      </c>
    </row>
    <row r="28" s="10" customFormat="1" ht="16.5" customHeight="1" spans="1:21">
      <c r="A28" s="21"/>
      <c r="B28" s="6"/>
      <c r="C28" s="5" t="s">
        <v>32</v>
      </c>
      <c r="D28" s="22">
        <v>2155802.93</v>
      </c>
      <c r="E28" s="22">
        <v>2986333.81</v>
      </c>
      <c r="F28" s="22">
        <v>564709.25</v>
      </c>
      <c r="G28" s="22">
        <v>14937.99</v>
      </c>
      <c r="H28" s="23">
        <v>5721783.98</v>
      </c>
      <c r="I28" s="20"/>
      <c r="J28" s="20"/>
      <c r="K28" s="20"/>
      <c r="L28" s="20"/>
      <c r="M28" s="20"/>
      <c r="N28" s="20"/>
      <c r="O28" s="20"/>
      <c r="P28" s="26"/>
      <c r="Q28" s="26"/>
      <c r="R28" s="26"/>
      <c r="S28" s="24" t="e">
        <f>SUM(#REF!)</f>
        <v>#REF!</v>
      </c>
      <c r="T28" s="32">
        <f>B28+30</f>
        <v>30</v>
      </c>
      <c r="U28" s="11">
        <v>22</v>
      </c>
    </row>
    <row r="29" ht="16.5" customHeight="1" spans="1:23">
      <c r="A29" s="6">
        <v>5</v>
      </c>
      <c r="B29" s="6">
        <v>44</v>
      </c>
      <c r="C29" s="18" t="s">
        <v>27</v>
      </c>
      <c r="D29" s="19">
        <v>543000.18</v>
      </c>
      <c r="E29" s="19"/>
      <c r="F29" s="19"/>
      <c r="G29" s="19"/>
      <c r="H29" s="20">
        <v>543000.18</v>
      </c>
      <c r="I29" s="20">
        <f t="shared" ref="I29:I32" si="12">H29*0.19</f>
        <v>103170.0342</v>
      </c>
      <c r="J29" s="20">
        <f t="shared" ref="J29:J32" si="13">H29*0.189</f>
        <v>102627.03402</v>
      </c>
      <c r="K29" s="20">
        <f t="shared" ref="K29:K32" si="14">H29*0.22</f>
        <v>119460.0396</v>
      </c>
      <c r="L29" s="20">
        <f t="shared" ref="L29:L32" si="15">H29*0.23</f>
        <v>124890.0414</v>
      </c>
      <c r="M29" s="20">
        <f t="shared" ref="M29:M32" si="16">H29-I29-J29-K29-L29</f>
        <v>92853.03078</v>
      </c>
      <c r="N29" s="20"/>
      <c r="O29" s="20"/>
      <c r="P29" s="26"/>
      <c r="Q29" s="26"/>
      <c r="R29" s="26">
        <f>SUM(I29:Q29)</f>
        <v>543000.18</v>
      </c>
      <c r="S29" s="24" t="e">
        <f>SUM(#REF!)</f>
        <v>#REF!</v>
      </c>
      <c r="T29" s="32">
        <f>B29+30</f>
        <v>74</v>
      </c>
      <c r="U29" s="11">
        <v>23</v>
      </c>
      <c r="W29" s="11">
        <v>5</v>
      </c>
    </row>
    <row r="30" ht="16.5" customHeight="1" spans="1:22">
      <c r="A30" s="6">
        <v>5</v>
      </c>
      <c r="B30" s="6">
        <v>84</v>
      </c>
      <c r="C30" s="18" t="s">
        <v>28</v>
      </c>
      <c r="D30" s="19"/>
      <c r="E30" s="19">
        <v>804354.74</v>
      </c>
      <c r="F30" s="19"/>
      <c r="G30" s="19"/>
      <c r="H30" s="20">
        <v>804354.74</v>
      </c>
      <c r="I30" s="20">
        <f>H30*0.19</f>
        <v>152827.4006</v>
      </c>
      <c r="J30" s="20">
        <f>H30*0.189</f>
        <v>152023.04586</v>
      </c>
      <c r="K30" s="20">
        <f>H30*0.22</f>
        <v>176958.0428</v>
      </c>
      <c r="L30" s="20">
        <f>H30*0.23</f>
        <v>185001.5902</v>
      </c>
      <c r="M30" s="20">
        <f>H30-I30-J30-K30-L30</f>
        <v>137544.66054</v>
      </c>
      <c r="N30" s="20"/>
      <c r="O30" s="20"/>
      <c r="P30" s="26"/>
      <c r="Q30" s="26"/>
      <c r="R30" s="26">
        <f>SUM(I30:Q30)</f>
        <v>804354.74</v>
      </c>
      <c r="S30" s="24" t="e">
        <f>SUM(#REF!)</f>
        <v>#REF!</v>
      </c>
      <c r="T30" s="32">
        <f>B30+30</f>
        <v>114</v>
      </c>
      <c r="U30" s="11">
        <v>24</v>
      </c>
      <c r="V30" s="11">
        <v>5</v>
      </c>
    </row>
    <row r="31" ht="16.5" customHeight="1" spans="1:24">
      <c r="A31" s="6">
        <v>5</v>
      </c>
      <c r="B31" s="6">
        <v>50</v>
      </c>
      <c r="C31" s="18" t="s">
        <v>29</v>
      </c>
      <c r="D31" s="19"/>
      <c r="E31" s="19"/>
      <c r="F31" s="19">
        <v>136321.2</v>
      </c>
      <c r="G31" s="19"/>
      <c r="H31" s="20">
        <v>136321.2</v>
      </c>
      <c r="I31" s="20">
        <f>H31*0.19</f>
        <v>25901.028</v>
      </c>
      <c r="J31" s="20">
        <f>H31*0.189</f>
        <v>25764.7068</v>
      </c>
      <c r="K31" s="20">
        <f>H31*0.22</f>
        <v>29990.664</v>
      </c>
      <c r="L31" s="20">
        <f>H31*0.23</f>
        <v>31353.876</v>
      </c>
      <c r="M31" s="20">
        <f>H31-I31-J31-K31-L31</f>
        <v>23310.9252</v>
      </c>
      <c r="N31" s="20"/>
      <c r="O31" s="20"/>
      <c r="P31" s="26"/>
      <c r="Q31" s="26"/>
      <c r="R31" s="26">
        <f>SUM(I31:Q31)</f>
        <v>136321.2</v>
      </c>
      <c r="S31" s="24" t="e">
        <f>SUM(#REF!)</f>
        <v>#REF!</v>
      </c>
      <c r="T31" s="32">
        <f>B31+30</f>
        <v>80</v>
      </c>
      <c r="U31" s="11">
        <v>25</v>
      </c>
      <c r="X31" s="11">
        <v>5</v>
      </c>
    </row>
    <row r="32" ht="16.5" customHeight="1" spans="1:20">
      <c r="A32" s="6">
        <v>5</v>
      </c>
      <c r="B32" s="6">
        <v>30</v>
      </c>
      <c r="C32" s="18" t="s">
        <v>30</v>
      </c>
      <c r="D32" s="19"/>
      <c r="E32" s="19"/>
      <c r="F32" s="19"/>
      <c r="G32" s="19">
        <v>3997.22</v>
      </c>
      <c r="H32" s="20">
        <v>3997.22</v>
      </c>
      <c r="I32" s="20">
        <f>H32*0.19</f>
        <v>759.4718</v>
      </c>
      <c r="J32" s="20">
        <f>H32*0.189</f>
        <v>755.47458</v>
      </c>
      <c r="K32" s="20">
        <f>H32*0.22</f>
        <v>879.3884</v>
      </c>
      <c r="L32" s="20">
        <f>H32*0.23</f>
        <v>919.3606</v>
      </c>
      <c r="M32" s="20">
        <f>H32-I32-J32-K32-L32</f>
        <v>683.52462</v>
      </c>
      <c r="N32" s="20"/>
      <c r="O32" s="20"/>
      <c r="P32" s="26"/>
      <c r="Q32" s="26"/>
      <c r="R32" s="26">
        <f>SUM(I32:Q32)</f>
        <v>3997.22</v>
      </c>
      <c r="S32" s="24"/>
      <c r="T32" s="32">
        <f>B32+30</f>
        <v>60</v>
      </c>
    </row>
    <row r="33" s="9" customFormat="1" ht="16.5" customHeight="1" spans="1:25">
      <c r="A33" s="21"/>
      <c r="B33" s="6"/>
      <c r="C33" s="5" t="s">
        <v>31</v>
      </c>
      <c r="D33" s="22">
        <v>543000.18</v>
      </c>
      <c r="E33" s="22">
        <v>804354.74</v>
      </c>
      <c r="F33" s="22">
        <v>136321.2</v>
      </c>
      <c r="G33" s="22">
        <v>3997.22</v>
      </c>
      <c r="H33" s="22">
        <v>1487673.34</v>
      </c>
      <c r="I33" s="20"/>
      <c r="J33" s="20"/>
      <c r="K33" s="20"/>
      <c r="L33" s="20"/>
      <c r="M33" s="20"/>
      <c r="N33" s="20"/>
      <c r="O33" s="20"/>
      <c r="P33" s="26"/>
      <c r="Q33" s="26"/>
      <c r="R33" s="26"/>
      <c r="S33" s="24" t="e">
        <f>SUM(#REF!)</f>
        <v>#REF!</v>
      </c>
      <c r="T33" s="32">
        <f>B33+30</f>
        <v>30</v>
      </c>
      <c r="U33" s="11">
        <v>26</v>
      </c>
      <c r="V33" s="10"/>
      <c r="W33" s="10"/>
      <c r="X33" s="10"/>
      <c r="Y33" s="10"/>
    </row>
    <row r="34" s="9" customFormat="1" ht="16.5" customHeight="1" spans="1:25">
      <c r="A34" s="21"/>
      <c r="B34" s="6"/>
      <c r="C34" s="5" t="s">
        <v>32</v>
      </c>
      <c r="D34" s="22">
        <v>2698803.11</v>
      </c>
      <c r="E34" s="22">
        <v>3790688.55</v>
      </c>
      <c r="F34" s="22">
        <v>701030.45</v>
      </c>
      <c r="G34" s="22">
        <v>18935.21</v>
      </c>
      <c r="H34" s="23">
        <v>7209457.32</v>
      </c>
      <c r="I34" s="20"/>
      <c r="J34" s="20"/>
      <c r="K34" s="20"/>
      <c r="L34" s="20"/>
      <c r="M34" s="20"/>
      <c r="N34" s="20"/>
      <c r="O34" s="20"/>
      <c r="P34" s="26"/>
      <c r="Q34" s="26"/>
      <c r="R34" s="26"/>
      <c r="S34" s="24" t="e">
        <f>SUM(#REF!)</f>
        <v>#REF!</v>
      </c>
      <c r="T34" s="32">
        <f>B34+30</f>
        <v>30</v>
      </c>
      <c r="U34" s="11">
        <v>27</v>
      </c>
      <c r="V34" s="10"/>
      <c r="W34" s="10"/>
      <c r="X34" s="10"/>
      <c r="Y34" s="10"/>
    </row>
    <row r="35" ht="16.5" customHeight="1" spans="1:23">
      <c r="A35" s="6">
        <v>6</v>
      </c>
      <c r="B35" s="6">
        <v>48</v>
      </c>
      <c r="C35" s="18" t="s">
        <v>27</v>
      </c>
      <c r="D35" s="19">
        <v>559397.55</v>
      </c>
      <c r="E35" s="19"/>
      <c r="F35" s="19"/>
      <c r="G35" s="19"/>
      <c r="H35" s="20">
        <v>559397.55</v>
      </c>
      <c r="I35" s="20"/>
      <c r="J35" s="20">
        <f t="shared" ref="J35:J38" si="17">H35*0.187</f>
        <v>104607.34185</v>
      </c>
      <c r="K35" s="20">
        <f t="shared" ref="K35:K38" si="18">H35*0.198</f>
        <v>110760.7149</v>
      </c>
      <c r="L35" s="20">
        <f t="shared" ref="L35:L38" si="19">H35*0.23</f>
        <v>128661.4365</v>
      </c>
      <c r="M35" s="20">
        <f t="shared" ref="M35:M38" si="20">H35*0.13</f>
        <v>72721.6815</v>
      </c>
      <c r="N35" s="20">
        <f t="shared" ref="N35:N38" si="21">H35-I35-J35-K35-L35-M35</f>
        <v>142646.37525</v>
      </c>
      <c r="O35" s="20"/>
      <c r="P35" s="26"/>
      <c r="Q35" s="26"/>
      <c r="R35" s="26">
        <f>SUM(I35:Q35)</f>
        <v>559397.55</v>
      </c>
      <c r="S35" s="24" t="e">
        <f>SUM(#REF!)</f>
        <v>#REF!</v>
      </c>
      <c r="T35" s="32">
        <f>B35+30</f>
        <v>78</v>
      </c>
      <c r="U35" s="11">
        <v>28</v>
      </c>
      <c r="W35" s="11">
        <v>6</v>
      </c>
    </row>
    <row r="36" ht="16.5" customHeight="1" spans="1:22">
      <c r="A36" s="6">
        <v>6</v>
      </c>
      <c r="B36" s="6">
        <v>80</v>
      </c>
      <c r="C36" s="18" t="s">
        <v>28</v>
      </c>
      <c r="D36" s="19"/>
      <c r="E36" s="19">
        <v>770927.56</v>
      </c>
      <c r="F36" s="19"/>
      <c r="G36" s="19"/>
      <c r="H36" s="20">
        <v>770927.56</v>
      </c>
      <c r="I36" s="20"/>
      <c r="J36" s="20">
        <f>H36*0.187</f>
        <v>144163.45372</v>
      </c>
      <c r="K36" s="20">
        <f>H36*0.198</f>
        <v>152643.65688</v>
      </c>
      <c r="L36" s="20">
        <f>H36*0.23</f>
        <v>177313.3388</v>
      </c>
      <c r="M36" s="20">
        <f>H36*0.13</f>
        <v>100220.5828</v>
      </c>
      <c r="N36" s="20">
        <f>H36-I36-J36-K36-L36-M36</f>
        <v>196586.5278</v>
      </c>
      <c r="O36" s="20"/>
      <c r="P36" s="26"/>
      <c r="Q36" s="26"/>
      <c r="R36" s="26">
        <f>SUM(I36:Q36)</f>
        <v>770927.56</v>
      </c>
      <c r="S36" s="24" t="e">
        <f>SUM(#REF!)</f>
        <v>#REF!</v>
      </c>
      <c r="T36" s="32">
        <f>B36+30</f>
        <v>110</v>
      </c>
      <c r="U36" s="11">
        <v>29</v>
      </c>
      <c r="V36" s="11">
        <v>6</v>
      </c>
    </row>
    <row r="37" ht="16.5" customHeight="1" spans="1:24">
      <c r="A37" s="6">
        <v>6</v>
      </c>
      <c r="B37" s="6">
        <v>84</v>
      </c>
      <c r="C37" s="18" t="s">
        <v>29</v>
      </c>
      <c r="D37" s="19"/>
      <c r="E37" s="19"/>
      <c r="F37" s="19">
        <v>146871.47</v>
      </c>
      <c r="G37" s="19"/>
      <c r="H37" s="20">
        <v>146871.47</v>
      </c>
      <c r="I37" s="20"/>
      <c r="J37" s="20">
        <f>H37*0.187</f>
        <v>27464.96489</v>
      </c>
      <c r="K37" s="20">
        <f>H37*0.198</f>
        <v>29080.55106</v>
      </c>
      <c r="L37" s="20">
        <f>H37*0.23</f>
        <v>33780.4381</v>
      </c>
      <c r="M37" s="20">
        <f>H37*0.13</f>
        <v>19093.2911</v>
      </c>
      <c r="N37" s="20">
        <f>H37-I37-J37-K37-L37-M37</f>
        <v>37452.22485</v>
      </c>
      <c r="O37" s="20"/>
      <c r="P37" s="26"/>
      <c r="Q37" s="26"/>
      <c r="R37" s="26">
        <f>SUM(I37:Q37)</f>
        <v>146871.47</v>
      </c>
      <c r="S37" s="24" t="e">
        <f>SUM(#REF!)</f>
        <v>#REF!</v>
      </c>
      <c r="T37" s="32">
        <f>B37+30</f>
        <v>114</v>
      </c>
      <c r="U37" s="11">
        <v>30</v>
      </c>
      <c r="X37" s="11">
        <v>6</v>
      </c>
    </row>
    <row r="38" ht="16.5" customHeight="1" spans="1:20">
      <c r="A38" s="6">
        <v>6</v>
      </c>
      <c r="B38" s="6">
        <v>30</v>
      </c>
      <c r="C38" s="18" t="s">
        <v>30</v>
      </c>
      <c r="D38" s="19"/>
      <c r="E38" s="19"/>
      <c r="F38" s="19"/>
      <c r="G38" s="19">
        <v>3762.52</v>
      </c>
      <c r="H38" s="20">
        <v>3762.52</v>
      </c>
      <c r="I38" s="20"/>
      <c r="J38" s="20">
        <f>H38*0.187</f>
        <v>703.59124</v>
      </c>
      <c r="K38" s="20">
        <f>H38*0.198</f>
        <v>744.97896</v>
      </c>
      <c r="L38" s="20">
        <f>H38*0.23</f>
        <v>865.3796</v>
      </c>
      <c r="M38" s="20">
        <f>H38*0.13</f>
        <v>489.1276</v>
      </c>
      <c r="N38" s="20">
        <f>H38-I38-J38-K38-L38-M38</f>
        <v>959.4426</v>
      </c>
      <c r="O38" s="20"/>
      <c r="P38" s="26"/>
      <c r="Q38" s="26"/>
      <c r="R38" s="26">
        <f>SUM(I38:Q38)</f>
        <v>3762.52</v>
      </c>
      <c r="S38" s="24"/>
      <c r="T38" s="32">
        <f t="shared" ref="T38:T76" si="22">B38+30</f>
        <v>60</v>
      </c>
    </row>
    <row r="39" s="9" customFormat="1" ht="16.5" customHeight="1" spans="1:25">
      <c r="A39" s="21"/>
      <c r="B39" s="6"/>
      <c r="C39" s="5" t="s">
        <v>31</v>
      </c>
      <c r="D39" s="22">
        <v>559397.55</v>
      </c>
      <c r="E39" s="22">
        <v>770927.56</v>
      </c>
      <c r="F39" s="22">
        <v>146871.47</v>
      </c>
      <c r="G39" s="22">
        <v>3762.52</v>
      </c>
      <c r="H39" s="22">
        <v>1480959.1</v>
      </c>
      <c r="I39" s="20"/>
      <c r="J39" s="20"/>
      <c r="K39" s="20"/>
      <c r="L39" s="20"/>
      <c r="M39" s="20"/>
      <c r="N39" s="20"/>
      <c r="O39" s="20"/>
      <c r="P39" s="26"/>
      <c r="Q39" s="26"/>
      <c r="R39" s="26"/>
      <c r="S39" s="24" t="e">
        <f>SUM(#REF!)</f>
        <v>#REF!</v>
      </c>
      <c r="T39" s="32">
        <f>B39+30</f>
        <v>30</v>
      </c>
      <c r="U39" s="11">
        <v>31</v>
      </c>
      <c r="V39" s="10"/>
      <c r="W39" s="10"/>
      <c r="X39" s="10"/>
      <c r="Y39" s="10"/>
    </row>
    <row r="40" s="9" customFormat="1" ht="16.5" customHeight="1" spans="1:25">
      <c r="A40" s="21"/>
      <c r="B40" s="6"/>
      <c r="C40" s="5" t="s">
        <v>32</v>
      </c>
      <c r="D40" s="22">
        <v>3258200.66</v>
      </c>
      <c r="E40" s="22">
        <v>4561616.11</v>
      </c>
      <c r="F40" s="22">
        <v>847901.92</v>
      </c>
      <c r="G40" s="22">
        <v>22697.73</v>
      </c>
      <c r="H40" s="23">
        <v>8690416.42</v>
      </c>
      <c r="I40" s="20"/>
      <c r="J40" s="20"/>
      <c r="K40" s="20"/>
      <c r="L40" s="20"/>
      <c r="M40" s="20"/>
      <c r="N40" s="20"/>
      <c r="O40" s="20"/>
      <c r="P40" s="26"/>
      <c r="Q40" s="26"/>
      <c r="R40" s="26"/>
      <c r="S40" s="24" t="e">
        <f>SUM(#REF!)</f>
        <v>#REF!</v>
      </c>
      <c r="T40" s="32">
        <f>B40+30</f>
        <v>30</v>
      </c>
      <c r="U40" s="11">
        <v>32</v>
      </c>
      <c r="V40" s="10"/>
      <c r="W40" s="10"/>
      <c r="X40" s="10"/>
      <c r="Y40" s="10"/>
    </row>
    <row r="41" ht="16.5" customHeight="1" spans="1:23">
      <c r="A41" s="6">
        <v>7</v>
      </c>
      <c r="B41" s="6">
        <v>51</v>
      </c>
      <c r="C41" s="18" t="s">
        <v>27</v>
      </c>
      <c r="D41" s="19">
        <v>549541.08</v>
      </c>
      <c r="E41" s="19"/>
      <c r="F41" s="19"/>
      <c r="G41" s="19"/>
      <c r="H41" s="20">
        <v>549541.08</v>
      </c>
      <c r="I41" s="20"/>
      <c r="J41" s="20"/>
      <c r="K41" s="20">
        <f t="shared" ref="K41:K44" si="23">H41*0.22</f>
        <v>120899.0376</v>
      </c>
      <c r="L41" s="20">
        <f t="shared" ref="L41:L44" si="24">H41*0.23</f>
        <v>126394.4484</v>
      </c>
      <c r="M41" s="20">
        <f t="shared" ref="M41:M44" si="25">H41*0.183</f>
        <v>100566.01764</v>
      </c>
      <c r="N41" s="20">
        <f t="shared" ref="N41:N44" si="26">H41*0.152</f>
        <v>83530.24416</v>
      </c>
      <c r="O41" s="20">
        <f t="shared" ref="O41:O44" si="27">H41-K41-L41-M41-N41</f>
        <v>118151.3322</v>
      </c>
      <c r="P41" s="26"/>
      <c r="Q41" s="26"/>
      <c r="R41" s="26">
        <f>SUM(I41:Q41)</f>
        <v>549541.08</v>
      </c>
      <c r="S41" s="24" t="e">
        <f>SUM(#REF!)</f>
        <v>#REF!</v>
      </c>
      <c r="T41" s="32">
        <f>B41+30</f>
        <v>81</v>
      </c>
      <c r="U41" s="11">
        <v>33</v>
      </c>
      <c r="W41" s="11">
        <v>7</v>
      </c>
    </row>
    <row r="42" ht="16.5" customHeight="1" spans="1:22">
      <c r="A42" s="6">
        <v>7</v>
      </c>
      <c r="B42" s="6">
        <v>107</v>
      </c>
      <c r="C42" s="18" t="s">
        <v>28</v>
      </c>
      <c r="D42" s="19"/>
      <c r="E42" s="19">
        <v>757491.66</v>
      </c>
      <c r="F42" s="19"/>
      <c r="G42" s="19"/>
      <c r="H42" s="20">
        <v>757491.66</v>
      </c>
      <c r="I42" s="20"/>
      <c r="J42" s="20"/>
      <c r="K42" s="20">
        <f>H42*0.22</f>
        <v>166648.1652</v>
      </c>
      <c r="L42" s="20">
        <f>H42*0.23</f>
        <v>174223.0818</v>
      </c>
      <c r="M42" s="20">
        <f>H42*0.183</f>
        <v>138620.97378</v>
      </c>
      <c r="N42" s="20">
        <f>H42*0.152</f>
        <v>115138.73232</v>
      </c>
      <c r="O42" s="20">
        <f>H42-K42-L42-M42-N42</f>
        <v>162860.7069</v>
      </c>
      <c r="P42" s="26"/>
      <c r="Q42" s="26"/>
      <c r="R42" s="26">
        <f>SUM(I42:Q42)</f>
        <v>757491.66</v>
      </c>
      <c r="S42" s="24" t="e">
        <f>SUM(#REF!)</f>
        <v>#REF!</v>
      </c>
      <c r="T42" s="32">
        <f>B42+30</f>
        <v>137</v>
      </c>
      <c r="U42" s="11">
        <v>34</v>
      </c>
      <c r="V42" s="11">
        <v>7</v>
      </c>
    </row>
    <row r="43" ht="16.5" customHeight="1" spans="1:24">
      <c r="A43" s="6">
        <v>7</v>
      </c>
      <c r="B43" s="6">
        <v>96</v>
      </c>
      <c r="C43" s="18" t="s">
        <v>29</v>
      </c>
      <c r="D43" s="19"/>
      <c r="E43" s="19"/>
      <c r="F43" s="19">
        <v>136273.99</v>
      </c>
      <c r="G43" s="19"/>
      <c r="H43" s="20">
        <v>136273.99</v>
      </c>
      <c r="I43" s="20"/>
      <c r="J43" s="20"/>
      <c r="K43" s="20">
        <f>H43*0.22</f>
        <v>29980.2778</v>
      </c>
      <c r="L43" s="20">
        <f>H43*0.23</f>
        <v>31343.0177</v>
      </c>
      <c r="M43" s="20">
        <f>H43*0.183</f>
        <v>24938.14017</v>
      </c>
      <c r="N43" s="20">
        <f>H43*0.152</f>
        <v>20713.64648</v>
      </c>
      <c r="O43" s="20">
        <f>H43-K43-L43-M43-N43</f>
        <v>29298.90785</v>
      </c>
      <c r="P43" s="26"/>
      <c r="Q43" s="26"/>
      <c r="R43" s="26">
        <f>SUM(I43:Q43)</f>
        <v>136273.99</v>
      </c>
      <c r="S43" s="24" t="e">
        <f>SUM(#REF!)</f>
        <v>#REF!</v>
      </c>
      <c r="T43" s="32">
        <f>B43+30</f>
        <v>126</v>
      </c>
      <c r="U43" s="11">
        <v>35</v>
      </c>
      <c r="X43" s="11">
        <v>7</v>
      </c>
    </row>
    <row r="44" ht="16.5" customHeight="1" spans="1:25">
      <c r="A44" s="6">
        <v>7</v>
      </c>
      <c r="B44" s="6">
        <v>92</v>
      </c>
      <c r="C44" s="18" t="s">
        <v>30</v>
      </c>
      <c r="D44" s="19"/>
      <c r="E44" s="19"/>
      <c r="F44" s="19"/>
      <c r="G44" s="19">
        <v>4016.84</v>
      </c>
      <c r="H44" s="20">
        <v>4016.84</v>
      </c>
      <c r="I44" s="20"/>
      <c r="J44" s="20"/>
      <c r="K44" s="20">
        <f>H44*0.22</f>
        <v>883.7048</v>
      </c>
      <c r="L44" s="20">
        <f>H44*0.23</f>
        <v>923.8732</v>
      </c>
      <c r="M44" s="20">
        <f>H44*0.183</f>
        <v>735.08172</v>
      </c>
      <c r="N44" s="20">
        <f>H44*0.152</f>
        <v>610.55968</v>
      </c>
      <c r="O44" s="20">
        <f>H44-K44-L44-M44-N44</f>
        <v>863.6206</v>
      </c>
      <c r="P44" s="26"/>
      <c r="Q44" s="26"/>
      <c r="R44" s="26">
        <f>SUM(I44:Q44)</f>
        <v>4016.84</v>
      </c>
      <c r="S44" s="24" t="e">
        <f>SUM(#REF!)</f>
        <v>#REF!</v>
      </c>
      <c r="T44" s="32">
        <f>B44+30</f>
        <v>122</v>
      </c>
      <c r="U44" s="11">
        <v>36</v>
      </c>
      <c r="Y44" s="11">
        <v>3</v>
      </c>
    </row>
    <row r="45" s="9" customFormat="1" ht="16.5" customHeight="1" spans="1:25">
      <c r="A45" s="21"/>
      <c r="B45" s="6"/>
      <c r="C45" s="5" t="s">
        <v>31</v>
      </c>
      <c r="D45" s="22">
        <v>549541.08</v>
      </c>
      <c r="E45" s="22">
        <v>757491.66</v>
      </c>
      <c r="F45" s="22">
        <v>136273.99</v>
      </c>
      <c r="G45" s="22">
        <v>4016.84</v>
      </c>
      <c r="H45" s="23">
        <v>1447323.57</v>
      </c>
      <c r="I45" s="20"/>
      <c r="J45" s="20"/>
      <c r="K45" s="20"/>
      <c r="L45" s="20"/>
      <c r="M45" s="20"/>
      <c r="N45" s="20"/>
      <c r="O45" s="20"/>
      <c r="P45" s="26"/>
      <c r="Q45" s="26"/>
      <c r="R45" s="26"/>
      <c r="S45" s="24" t="e">
        <f>SUM(#REF!)</f>
        <v>#REF!</v>
      </c>
      <c r="T45" s="32">
        <f>B45+30</f>
        <v>30</v>
      </c>
      <c r="U45" s="11">
        <v>37</v>
      </c>
      <c r="V45" s="10"/>
      <c r="W45" s="10"/>
      <c r="X45" s="10"/>
      <c r="Y45" s="10"/>
    </row>
    <row r="46" s="9" customFormat="1" ht="16.5" customHeight="1" spans="1:25">
      <c r="A46" s="21"/>
      <c r="B46" s="6"/>
      <c r="C46" s="5" t="s">
        <v>32</v>
      </c>
      <c r="D46" s="22">
        <v>3807741.74</v>
      </c>
      <c r="E46" s="22">
        <v>5319107.77</v>
      </c>
      <c r="F46" s="22">
        <v>984175.91</v>
      </c>
      <c r="G46" s="22">
        <v>26714.57</v>
      </c>
      <c r="H46" s="23">
        <v>10137739.99</v>
      </c>
      <c r="I46" s="20"/>
      <c r="J46" s="20"/>
      <c r="K46" s="20"/>
      <c r="L46" s="20"/>
      <c r="M46" s="20"/>
      <c r="N46" s="20"/>
      <c r="O46" s="20"/>
      <c r="P46" s="26"/>
      <c r="Q46" s="26"/>
      <c r="R46" s="26"/>
      <c r="S46" s="24" t="e">
        <f>SUM(#REF!)</f>
        <v>#REF!</v>
      </c>
      <c r="T46" s="32">
        <f>B46+30</f>
        <v>30</v>
      </c>
      <c r="U46" s="11">
        <v>38</v>
      </c>
      <c r="V46" s="10"/>
      <c r="W46" s="10"/>
      <c r="X46" s="10"/>
      <c r="Y46" s="10"/>
    </row>
    <row r="47" ht="16.5" customHeight="1" spans="1:23">
      <c r="A47" s="6">
        <v>8</v>
      </c>
      <c r="B47" s="6">
        <v>57</v>
      </c>
      <c r="C47" s="18" t="s">
        <v>27</v>
      </c>
      <c r="D47" s="19">
        <v>523710.53</v>
      </c>
      <c r="E47" s="19"/>
      <c r="F47" s="19"/>
      <c r="G47" s="19"/>
      <c r="H47" s="20">
        <v>523710.53</v>
      </c>
      <c r="I47" s="20"/>
      <c r="J47" s="20"/>
      <c r="K47" s="20"/>
      <c r="L47" s="20">
        <f t="shared" ref="L47:L50" si="28">H47*0.19</f>
        <v>99505.0007</v>
      </c>
      <c r="M47" s="20">
        <f t="shared" ref="M47:M50" si="29">H47*0.193</f>
        <v>101076.13229</v>
      </c>
      <c r="N47" s="20">
        <f t="shared" ref="N47:N50" si="30">H47*0.182</f>
        <v>95315.31646</v>
      </c>
      <c r="O47" s="20">
        <f t="shared" ref="O47:O50" si="31">H47*0.184</f>
        <v>96362.73752</v>
      </c>
      <c r="P47" s="26">
        <f t="shared" ref="P47:P50" si="32">H47*0.113</f>
        <v>59179.28989</v>
      </c>
      <c r="Q47" s="26">
        <f t="shared" ref="Q47:Q50" si="33">H47-L47-M47-N47-O47-P47</f>
        <v>72272.05314</v>
      </c>
      <c r="R47" s="26">
        <f>SUM(I47:Q47)</f>
        <v>523710.53</v>
      </c>
      <c r="S47" s="24" t="e">
        <f>SUM(#REF!)</f>
        <v>#REF!</v>
      </c>
      <c r="T47" s="32">
        <f>B47+30</f>
        <v>87</v>
      </c>
      <c r="U47" s="11">
        <v>39</v>
      </c>
      <c r="W47" s="11">
        <v>8</v>
      </c>
    </row>
    <row r="48" ht="16.5" customHeight="1" spans="1:22">
      <c r="A48" s="6">
        <v>8</v>
      </c>
      <c r="B48" s="6">
        <v>94</v>
      </c>
      <c r="C48" s="18" t="s">
        <v>28</v>
      </c>
      <c r="D48" s="19"/>
      <c r="E48" s="19">
        <v>777355.41</v>
      </c>
      <c r="F48" s="19"/>
      <c r="G48" s="19"/>
      <c r="H48" s="20">
        <v>777355.41</v>
      </c>
      <c r="I48" s="20"/>
      <c r="J48" s="20"/>
      <c r="K48" s="20"/>
      <c r="L48" s="20">
        <f>H48*0.19</f>
        <v>147697.5279</v>
      </c>
      <c r="M48" s="20">
        <f>H48*0.193</f>
        <v>150029.59413</v>
      </c>
      <c r="N48" s="20">
        <f>H48*0.182</f>
        <v>141478.68462</v>
      </c>
      <c r="O48" s="20">
        <f>H48*0.184</f>
        <v>143033.39544</v>
      </c>
      <c r="P48" s="26">
        <f>H48*0.113</f>
        <v>87841.16133</v>
      </c>
      <c r="Q48" s="26">
        <f>H48-L48-M48-N48-O48-P48</f>
        <v>107275.04658</v>
      </c>
      <c r="R48" s="26">
        <f>SUM(I48:Q48)</f>
        <v>777355.41</v>
      </c>
      <c r="S48" s="24" t="e">
        <f>SUM(#REF!)</f>
        <v>#REF!</v>
      </c>
      <c r="T48" s="32">
        <f>B48+30</f>
        <v>124</v>
      </c>
      <c r="U48" s="11">
        <v>40</v>
      </c>
      <c r="V48" s="11">
        <v>8</v>
      </c>
    </row>
    <row r="49" ht="16.5" customHeight="1" spans="1:24">
      <c r="A49" s="6">
        <v>8</v>
      </c>
      <c r="B49" s="6">
        <v>63</v>
      </c>
      <c r="C49" s="18" t="s">
        <v>29</v>
      </c>
      <c r="D49" s="19"/>
      <c r="E49" s="19"/>
      <c r="F49" s="19">
        <v>143211.25</v>
      </c>
      <c r="G49" s="19"/>
      <c r="H49" s="20">
        <v>143211.25</v>
      </c>
      <c r="I49" s="20"/>
      <c r="J49" s="20"/>
      <c r="K49" s="20"/>
      <c r="L49" s="20">
        <f>H49*0.19</f>
        <v>27210.1375</v>
      </c>
      <c r="M49" s="20">
        <f>H49*0.193</f>
        <v>27639.77125</v>
      </c>
      <c r="N49" s="20">
        <f>H49*0.182</f>
        <v>26064.4475</v>
      </c>
      <c r="O49" s="20">
        <f>H49*0.184</f>
        <v>26350.87</v>
      </c>
      <c r="P49" s="26">
        <f>H49*0.113</f>
        <v>16182.87125</v>
      </c>
      <c r="Q49" s="26">
        <f>H49-L49-M49-N49-O49-P49</f>
        <v>19763.1525</v>
      </c>
      <c r="R49" s="26">
        <f>SUM(I49:Q49)</f>
        <v>143211.25</v>
      </c>
      <c r="S49" s="24" t="e">
        <f>SUM(#REF!)</f>
        <v>#REF!</v>
      </c>
      <c r="T49" s="32">
        <f>B49+30</f>
        <v>93</v>
      </c>
      <c r="U49" s="11">
        <v>41</v>
      </c>
      <c r="X49" s="11">
        <v>8</v>
      </c>
    </row>
    <row r="50" ht="16.5" customHeight="1" spans="1:20">
      <c r="A50" s="6">
        <v>8</v>
      </c>
      <c r="B50" s="6">
        <v>30</v>
      </c>
      <c r="C50" s="18" t="s">
        <v>30</v>
      </c>
      <c r="D50" s="19"/>
      <c r="E50" s="19"/>
      <c r="F50" s="19"/>
      <c r="G50" s="19">
        <v>3929.27</v>
      </c>
      <c r="H50" s="20">
        <v>3929.27</v>
      </c>
      <c r="I50" s="20"/>
      <c r="J50" s="20"/>
      <c r="K50" s="20"/>
      <c r="L50" s="20">
        <f>H50*0.19</f>
        <v>746.5613</v>
      </c>
      <c r="M50" s="20">
        <f>H50*0.193</f>
        <v>758.34911</v>
      </c>
      <c r="N50" s="20">
        <f>H50*0.182</f>
        <v>715.12714</v>
      </c>
      <c r="O50" s="20">
        <f>H50*0.184</f>
        <v>722.98568</v>
      </c>
      <c r="P50" s="26">
        <f>H50*0.113</f>
        <v>444.00751</v>
      </c>
      <c r="Q50" s="26">
        <f>H50-L50-M50-N50-O50-P50</f>
        <v>542.23926</v>
      </c>
      <c r="R50" s="26">
        <f>SUM(I50:Q50)</f>
        <v>3929.27</v>
      </c>
      <c r="S50" s="24"/>
      <c r="T50" s="32">
        <f>B50+30</f>
        <v>60</v>
      </c>
    </row>
    <row r="51" s="9" customFormat="1" ht="16.5" customHeight="1" spans="1:25">
      <c r="A51" s="21"/>
      <c r="B51" s="6"/>
      <c r="C51" s="5" t="s">
        <v>31</v>
      </c>
      <c r="D51" s="22">
        <v>523710.53</v>
      </c>
      <c r="E51" s="22">
        <v>777355.41</v>
      </c>
      <c r="F51" s="22">
        <v>143211.25</v>
      </c>
      <c r="G51" s="22">
        <v>3929.27</v>
      </c>
      <c r="H51" s="22">
        <v>1448206.46</v>
      </c>
      <c r="I51" s="20"/>
      <c r="J51" s="20"/>
      <c r="K51" s="20"/>
      <c r="L51" s="20"/>
      <c r="M51" s="20"/>
      <c r="N51" s="20"/>
      <c r="O51" s="20"/>
      <c r="P51" s="26"/>
      <c r="Q51" s="26"/>
      <c r="R51" s="26"/>
      <c r="S51" s="24" t="e">
        <f>SUM(#REF!)</f>
        <v>#REF!</v>
      </c>
      <c r="T51" s="32">
        <f>B51+30</f>
        <v>30</v>
      </c>
      <c r="U51" s="11">
        <v>42</v>
      </c>
      <c r="V51" s="11"/>
      <c r="W51" s="10"/>
      <c r="X51" s="10"/>
      <c r="Y51" s="10"/>
    </row>
    <row r="52" s="9" customFormat="1" ht="16.5" customHeight="1" spans="1:25">
      <c r="A52" s="21"/>
      <c r="B52" s="6"/>
      <c r="C52" s="5" t="s">
        <v>32</v>
      </c>
      <c r="D52" s="22">
        <v>4331452.27</v>
      </c>
      <c r="E52" s="22">
        <v>6096463.18</v>
      </c>
      <c r="F52" s="22">
        <v>1127387.16</v>
      </c>
      <c r="G52" s="22">
        <v>30643.84</v>
      </c>
      <c r="H52" s="23">
        <v>11585946.45</v>
      </c>
      <c r="I52" s="20"/>
      <c r="J52" s="20"/>
      <c r="K52" s="20"/>
      <c r="L52" s="20"/>
      <c r="M52" s="20"/>
      <c r="N52" s="20"/>
      <c r="O52" s="20"/>
      <c r="P52" s="26"/>
      <c r="Q52" s="26"/>
      <c r="R52" s="26"/>
      <c r="S52" s="24" t="e">
        <f>SUM(#REF!)</f>
        <v>#REF!</v>
      </c>
      <c r="T52" s="32">
        <f>B52+30</f>
        <v>30</v>
      </c>
      <c r="U52" s="11">
        <v>43</v>
      </c>
      <c r="V52" s="11"/>
      <c r="W52" s="10"/>
      <c r="X52" s="10"/>
      <c r="Y52" s="10"/>
    </row>
    <row r="53" s="9" customFormat="1" ht="16.5" customHeight="1" spans="1:25">
      <c r="A53" s="6">
        <v>9</v>
      </c>
      <c r="B53" s="6">
        <v>61</v>
      </c>
      <c r="C53" s="18" t="s">
        <v>27</v>
      </c>
      <c r="D53" s="19">
        <v>544438.39</v>
      </c>
      <c r="E53" s="19"/>
      <c r="F53" s="19"/>
      <c r="G53" s="19"/>
      <c r="H53" s="20">
        <v>544438.39</v>
      </c>
      <c r="I53" s="20"/>
      <c r="J53" s="20"/>
      <c r="K53" s="20"/>
      <c r="L53" s="20"/>
      <c r="M53" s="20">
        <f t="shared" ref="M53:M56" si="34">H53*0.183</f>
        <v>99632.22537</v>
      </c>
      <c r="N53" s="20">
        <f t="shared" ref="N53:N56" si="35">H53*0.192</f>
        <v>104532.17088</v>
      </c>
      <c r="O53" s="20">
        <f t="shared" ref="O53:O56" si="36">H53*0.194</f>
        <v>105621.04766</v>
      </c>
      <c r="P53" s="26">
        <f t="shared" ref="P53:P56" si="37">H53*0.213</f>
        <v>115965.37707</v>
      </c>
      <c r="Q53" s="26">
        <f t="shared" ref="Q53:Q56" si="38">H53-M53-N53-O53-P53</f>
        <v>118687.56902</v>
      </c>
      <c r="R53" s="26">
        <f>SUM(I53:Q53)</f>
        <v>544438.39</v>
      </c>
      <c r="S53" s="24" t="e">
        <f>SUM(#REF!)</f>
        <v>#REF!</v>
      </c>
      <c r="T53" s="32">
        <f>B53+30</f>
        <v>91</v>
      </c>
      <c r="U53" s="11">
        <v>44</v>
      </c>
      <c r="V53" s="11"/>
      <c r="W53" s="11">
        <v>9</v>
      </c>
      <c r="X53" s="10"/>
      <c r="Y53" s="10"/>
    </row>
    <row r="54" s="9" customFormat="1" ht="16.5" customHeight="1" spans="1:25">
      <c r="A54" s="6">
        <v>9</v>
      </c>
      <c r="B54" s="6">
        <v>104</v>
      </c>
      <c r="C54" s="18" t="s">
        <v>28</v>
      </c>
      <c r="D54" s="19"/>
      <c r="E54" s="19">
        <v>743964.02</v>
      </c>
      <c r="F54" s="19"/>
      <c r="G54" s="19"/>
      <c r="H54" s="20">
        <v>743964.02</v>
      </c>
      <c r="I54" s="20"/>
      <c r="J54" s="20"/>
      <c r="K54" s="20"/>
      <c r="L54" s="20"/>
      <c r="M54" s="20">
        <f>H54*0.183</f>
        <v>136145.41566</v>
      </c>
      <c r="N54" s="20">
        <f>H54*0.192</f>
        <v>142841.09184</v>
      </c>
      <c r="O54" s="20">
        <f>H54*0.194</f>
        <v>144329.01988</v>
      </c>
      <c r="P54" s="26">
        <f>H54*0.213</f>
        <v>158464.33626</v>
      </c>
      <c r="Q54" s="26">
        <f>H54-M54-N54-O54-P54</f>
        <v>162184.15636</v>
      </c>
      <c r="R54" s="26">
        <f>SUM(I54:Q54)</f>
        <v>743964.02</v>
      </c>
      <c r="S54" s="24" t="e">
        <f>SUM(#REF!)</f>
        <v>#REF!</v>
      </c>
      <c r="T54" s="32">
        <f>B54+30</f>
        <v>134</v>
      </c>
      <c r="U54" s="11">
        <v>45</v>
      </c>
      <c r="V54" s="11">
        <v>9</v>
      </c>
      <c r="W54" s="10"/>
      <c r="X54" s="10"/>
      <c r="Y54" s="10"/>
    </row>
    <row r="55" s="9" customFormat="1" ht="16.5" customHeight="1" spans="1:25">
      <c r="A55" s="6">
        <v>9</v>
      </c>
      <c r="B55" s="6">
        <v>73</v>
      </c>
      <c r="C55" s="18" t="s">
        <v>29</v>
      </c>
      <c r="D55" s="19"/>
      <c r="E55" s="19"/>
      <c r="F55" s="19">
        <v>143575.49</v>
      </c>
      <c r="G55" s="19"/>
      <c r="H55" s="20">
        <v>143575.49</v>
      </c>
      <c r="I55" s="20"/>
      <c r="J55" s="20"/>
      <c r="K55" s="20"/>
      <c r="L55" s="20"/>
      <c r="M55" s="20">
        <f>H55*0.183</f>
        <v>26274.31467</v>
      </c>
      <c r="N55" s="20">
        <f>H55*0.192</f>
        <v>27566.49408</v>
      </c>
      <c r="O55" s="20">
        <f>H55*0.194</f>
        <v>27853.64506</v>
      </c>
      <c r="P55" s="26">
        <f>H55*0.213</f>
        <v>30581.57937</v>
      </c>
      <c r="Q55" s="26">
        <f>H55-M55-N55-O55-P55</f>
        <v>31299.45682</v>
      </c>
      <c r="R55" s="26">
        <f>SUM(I55:Q55)</f>
        <v>143575.49</v>
      </c>
      <c r="S55" s="24" t="e">
        <f>SUM(#REF!)</f>
        <v>#REF!</v>
      </c>
      <c r="T55" s="32">
        <f>B55+30</f>
        <v>103</v>
      </c>
      <c r="U55" s="11">
        <v>46</v>
      </c>
      <c r="V55" s="11"/>
      <c r="W55" s="10"/>
      <c r="X55" s="10">
        <v>9</v>
      </c>
      <c r="Y55" s="11"/>
    </row>
    <row r="56" s="9" customFormat="1" ht="16.5" customHeight="1" spans="1:25">
      <c r="A56" s="6">
        <v>9</v>
      </c>
      <c r="B56" s="6">
        <v>75</v>
      </c>
      <c r="C56" s="18" t="s">
        <v>30</v>
      </c>
      <c r="D56" s="19"/>
      <c r="E56" s="19"/>
      <c r="F56" s="19"/>
      <c r="G56" s="19">
        <v>4068.53</v>
      </c>
      <c r="H56" s="20">
        <v>4068.53</v>
      </c>
      <c r="I56" s="20"/>
      <c r="J56" s="20"/>
      <c r="K56" s="20"/>
      <c r="L56" s="20"/>
      <c r="M56" s="20">
        <f>H56*0.183</f>
        <v>744.54099</v>
      </c>
      <c r="N56" s="20">
        <f>H56*0.192</f>
        <v>781.15776</v>
      </c>
      <c r="O56" s="20">
        <f>H56*0.194</f>
        <v>789.29482</v>
      </c>
      <c r="P56" s="26">
        <f>H56*0.213</f>
        <v>866.59689</v>
      </c>
      <c r="Q56" s="26">
        <f>H56-M56-N56-O56-P56</f>
        <v>886.93954</v>
      </c>
      <c r="R56" s="26">
        <f>SUM(I56:Q56)</f>
        <v>4068.53</v>
      </c>
      <c r="S56" s="24" t="e">
        <f>SUM(#REF!)</f>
        <v>#REF!</v>
      </c>
      <c r="T56" s="32">
        <f>B56+30</f>
        <v>105</v>
      </c>
      <c r="U56" s="11">
        <v>47</v>
      </c>
      <c r="V56" s="10"/>
      <c r="W56" s="10"/>
      <c r="X56" s="11"/>
      <c r="Y56" s="10">
        <v>4</v>
      </c>
    </row>
    <row r="57" s="9" customFormat="1" ht="16.5" customHeight="1" spans="1:25">
      <c r="A57" s="21"/>
      <c r="B57" s="6"/>
      <c r="C57" s="5" t="s">
        <v>31</v>
      </c>
      <c r="D57" s="22">
        <v>544438.39</v>
      </c>
      <c r="E57" s="22">
        <v>743964.02</v>
      </c>
      <c r="F57" s="22">
        <v>143575.49</v>
      </c>
      <c r="G57" s="22">
        <v>4068.53</v>
      </c>
      <c r="H57" s="23">
        <v>1436046.43</v>
      </c>
      <c r="I57" s="20"/>
      <c r="J57" s="20"/>
      <c r="K57" s="20"/>
      <c r="L57" s="20"/>
      <c r="M57" s="20"/>
      <c r="N57" s="20"/>
      <c r="O57" s="20"/>
      <c r="P57" s="26"/>
      <c r="Q57" s="26"/>
      <c r="R57" s="26"/>
      <c r="S57" s="24" t="e">
        <f>SUM(#REF!)</f>
        <v>#REF!</v>
      </c>
      <c r="T57" s="32">
        <f>B57+30</f>
        <v>30</v>
      </c>
      <c r="U57" s="11">
        <v>48</v>
      </c>
      <c r="V57" s="10"/>
      <c r="W57" s="10"/>
      <c r="X57" s="10"/>
      <c r="Y57" s="10"/>
    </row>
    <row r="58" s="9" customFormat="1" ht="16.5" customHeight="1" spans="1:25">
      <c r="A58" s="21"/>
      <c r="B58" s="6"/>
      <c r="C58" s="5" t="s">
        <v>32</v>
      </c>
      <c r="D58" s="22">
        <v>4875890.66</v>
      </c>
      <c r="E58" s="22">
        <v>6840427.2</v>
      </c>
      <c r="F58" s="22">
        <v>1270962.65</v>
      </c>
      <c r="G58" s="22">
        <v>34712.37</v>
      </c>
      <c r="H58" s="23">
        <v>13021992.88</v>
      </c>
      <c r="I58" s="20"/>
      <c r="J58" s="20"/>
      <c r="K58" s="20"/>
      <c r="L58" s="20"/>
      <c r="M58" s="20"/>
      <c r="N58" s="20"/>
      <c r="O58" s="20"/>
      <c r="P58" s="26"/>
      <c r="Q58" s="26"/>
      <c r="R58" s="26"/>
      <c r="S58" s="24" t="e">
        <f>SUM(#REF!)</f>
        <v>#REF!</v>
      </c>
      <c r="T58" s="32">
        <f>B58+30</f>
        <v>30</v>
      </c>
      <c r="U58" s="11">
        <v>49</v>
      </c>
      <c r="V58" s="10"/>
      <c r="W58" s="10"/>
      <c r="X58" s="10"/>
      <c r="Y58" s="10"/>
    </row>
    <row r="59" ht="16.5" customHeight="1" spans="1:23">
      <c r="A59" s="6">
        <v>10</v>
      </c>
      <c r="B59" s="6">
        <v>42</v>
      </c>
      <c r="C59" s="18" t="s">
        <v>27</v>
      </c>
      <c r="D59" s="19">
        <v>547813.54</v>
      </c>
      <c r="E59" s="24"/>
      <c r="F59" s="24"/>
      <c r="G59" s="24"/>
      <c r="H59" s="20">
        <v>547813.54</v>
      </c>
      <c r="I59" s="20"/>
      <c r="J59" s="20"/>
      <c r="K59" s="20"/>
      <c r="L59" s="20"/>
      <c r="M59" s="20"/>
      <c r="N59" s="20">
        <f t="shared" ref="N59:N62" si="39">H59*0.22</f>
        <v>120518.9788</v>
      </c>
      <c r="O59" s="20">
        <f t="shared" ref="O59:O62" si="40">H59*0.214</f>
        <v>117232.09756</v>
      </c>
      <c r="P59" s="26">
        <f t="shared" ref="P59:P62" si="41">H59*0.213</f>
        <v>116684.28402</v>
      </c>
      <c r="Q59" s="26">
        <f t="shared" ref="Q59:Q62" si="42">H59-N59-O59-P59</f>
        <v>193378.17962</v>
      </c>
      <c r="R59" s="26">
        <f>SUM(I59:Q59)</f>
        <v>547813.54</v>
      </c>
      <c r="S59" s="24" t="e">
        <f>SUM(#REF!)</f>
        <v>#REF!</v>
      </c>
      <c r="T59" s="32">
        <f>B59+30</f>
        <v>72</v>
      </c>
      <c r="U59" s="11">
        <v>50</v>
      </c>
      <c r="W59" s="11">
        <v>10</v>
      </c>
    </row>
    <row r="60" ht="16.5" customHeight="1" spans="1:22">
      <c r="A60" s="6">
        <v>10</v>
      </c>
      <c r="B60" s="6">
        <v>81</v>
      </c>
      <c r="C60" s="18" t="s">
        <v>28</v>
      </c>
      <c r="D60" s="19"/>
      <c r="E60" s="19">
        <v>748511.43</v>
      </c>
      <c r="F60" s="24"/>
      <c r="G60" s="24"/>
      <c r="H60" s="20">
        <v>748511.43</v>
      </c>
      <c r="I60" s="20"/>
      <c r="J60" s="20"/>
      <c r="K60" s="20"/>
      <c r="L60" s="20"/>
      <c r="M60" s="20"/>
      <c r="N60" s="20">
        <f>H60*0.22</f>
        <v>164672.5146</v>
      </c>
      <c r="O60" s="20">
        <f>H60*0.214</f>
        <v>160181.44602</v>
      </c>
      <c r="P60" s="26">
        <f>H60*0.213</f>
        <v>159432.93459</v>
      </c>
      <c r="Q60" s="26">
        <f>H60-N60-O60-P60</f>
        <v>264224.53479</v>
      </c>
      <c r="R60" s="26">
        <f>SUM(I60:Q60)</f>
        <v>748511.43</v>
      </c>
      <c r="S60" s="24" t="e">
        <f>SUM(#REF!)</f>
        <v>#REF!</v>
      </c>
      <c r="T60" s="32">
        <f>B60+30</f>
        <v>111</v>
      </c>
      <c r="U60" s="11">
        <v>51</v>
      </c>
      <c r="V60" s="11">
        <v>10</v>
      </c>
    </row>
    <row r="61" ht="16.5" customHeight="1" spans="1:24">
      <c r="A61" s="6">
        <v>10</v>
      </c>
      <c r="B61" s="6">
        <v>74</v>
      </c>
      <c r="C61" s="18" t="s">
        <v>29</v>
      </c>
      <c r="D61" s="19"/>
      <c r="E61" s="19"/>
      <c r="F61" s="19">
        <v>139868.43</v>
      </c>
      <c r="G61" s="24"/>
      <c r="H61" s="20">
        <v>139868.43</v>
      </c>
      <c r="I61" s="20"/>
      <c r="J61" s="20"/>
      <c r="K61" s="20"/>
      <c r="L61" s="20"/>
      <c r="M61" s="20"/>
      <c r="N61" s="20">
        <f>H61*0.22</f>
        <v>30771.0546</v>
      </c>
      <c r="O61" s="20">
        <f>H61*0.214</f>
        <v>29931.84402</v>
      </c>
      <c r="P61" s="26">
        <f>H61*0.213</f>
        <v>29791.97559</v>
      </c>
      <c r="Q61" s="26">
        <f>H61-N61-O61-P61</f>
        <v>49373.55579</v>
      </c>
      <c r="R61" s="26">
        <f>SUM(I61:Q61)</f>
        <v>139868.43</v>
      </c>
      <c r="S61" s="24" t="e">
        <f>SUM(#REF!)</f>
        <v>#REF!</v>
      </c>
      <c r="T61" s="32">
        <f>B61+30</f>
        <v>104</v>
      </c>
      <c r="U61" s="11">
        <v>52</v>
      </c>
      <c r="X61" s="11">
        <v>10</v>
      </c>
    </row>
    <row r="62" ht="16.5" customHeight="1" spans="1:25">
      <c r="A62" s="6">
        <v>10</v>
      </c>
      <c r="B62" s="6">
        <v>62</v>
      </c>
      <c r="C62" s="18" t="s">
        <v>30</v>
      </c>
      <c r="D62" s="19"/>
      <c r="E62" s="24"/>
      <c r="F62" s="19"/>
      <c r="G62" s="19">
        <v>3863.38</v>
      </c>
      <c r="H62" s="20">
        <v>3863.38</v>
      </c>
      <c r="I62" s="20"/>
      <c r="J62" s="20"/>
      <c r="K62" s="20"/>
      <c r="L62" s="20"/>
      <c r="M62" s="20"/>
      <c r="N62" s="20">
        <f>H62*0.22</f>
        <v>849.9436</v>
      </c>
      <c r="O62" s="20">
        <f>H62*0.214</f>
        <v>826.76332</v>
      </c>
      <c r="P62" s="26">
        <f>H62*0.213</f>
        <v>822.89994</v>
      </c>
      <c r="Q62" s="26">
        <f>H62-N62-O62-P62</f>
        <v>1363.77314</v>
      </c>
      <c r="R62" s="26">
        <f>SUM(I62:Q62)</f>
        <v>3863.38</v>
      </c>
      <c r="S62" s="24" t="e">
        <f>SUM(#REF!)</f>
        <v>#REF!</v>
      </c>
      <c r="T62" s="32">
        <f>B62+30</f>
        <v>92</v>
      </c>
      <c r="U62" s="11">
        <v>53</v>
      </c>
      <c r="Y62" s="11">
        <v>5</v>
      </c>
    </row>
    <row r="63" s="10" customFormat="1" ht="16.5" customHeight="1" spans="1:21">
      <c r="A63" s="6"/>
      <c r="B63" s="6"/>
      <c r="C63" s="5" t="s">
        <v>31</v>
      </c>
      <c r="D63" s="22">
        <v>547813.54</v>
      </c>
      <c r="E63" s="22">
        <v>748511.43</v>
      </c>
      <c r="F63" s="22">
        <v>139868.43</v>
      </c>
      <c r="G63" s="22">
        <v>3863.38</v>
      </c>
      <c r="H63" s="23">
        <v>1440056.78</v>
      </c>
      <c r="I63" s="20"/>
      <c r="J63" s="20"/>
      <c r="K63" s="20"/>
      <c r="L63" s="20"/>
      <c r="M63" s="20"/>
      <c r="N63" s="20"/>
      <c r="O63" s="20"/>
      <c r="P63" s="26"/>
      <c r="Q63" s="26"/>
      <c r="R63" s="26"/>
      <c r="S63" s="24" t="e">
        <f>SUM(#REF!)</f>
        <v>#REF!</v>
      </c>
      <c r="T63" s="32">
        <f>B63+30</f>
        <v>30</v>
      </c>
      <c r="U63" s="11">
        <v>54</v>
      </c>
    </row>
    <row r="64" s="10" customFormat="1" ht="16.5" customHeight="1" spans="1:21">
      <c r="A64" s="6"/>
      <c r="B64" s="6"/>
      <c r="C64" s="5" t="s">
        <v>32</v>
      </c>
      <c r="D64" s="22">
        <v>5423704.2</v>
      </c>
      <c r="E64" s="22">
        <v>7588938.63</v>
      </c>
      <c r="F64" s="22">
        <v>1410831.08</v>
      </c>
      <c r="G64" s="22">
        <v>38575.75</v>
      </c>
      <c r="H64" s="23">
        <v>14462049.66</v>
      </c>
      <c r="I64" s="20"/>
      <c r="J64" s="20"/>
      <c r="K64" s="20"/>
      <c r="L64" s="20"/>
      <c r="M64" s="20"/>
      <c r="N64" s="20"/>
      <c r="O64" s="20"/>
      <c r="P64" s="26"/>
      <c r="Q64" s="26"/>
      <c r="R64" s="26"/>
      <c r="S64" s="24" t="e">
        <f>SUM(#REF!)</f>
        <v>#REF!</v>
      </c>
      <c r="T64" s="32">
        <f>B64+30</f>
        <v>30</v>
      </c>
      <c r="U64" s="11">
        <v>55</v>
      </c>
    </row>
    <row r="65" ht="16.5" customHeight="1" spans="1:23">
      <c r="A65" s="6">
        <v>11</v>
      </c>
      <c r="B65" s="6">
        <v>54</v>
      </c>
      <c r="C65" s="18" t="s">
        <v>27</v>
      </c>
      <c r="D65" s="19">
        <v>538803.82</v>
      </c>
      <c r="E65" s="19"/>
      <c r="F65" s="19"/>
      <c r="G65" s="19"/>
      <c r="H65" s="20">
        <v>538803.82</v>
      </c>
      <c r="I65" s="20"/>
      <c r="J65" s="20"/>
      <c r="K65" s="20"/>
      <c r="L65" s="20"/>
      <c r="M65" s="20"/>
      <c r="N65" s="20"/>
      <c r="O65" s="20">
        <f t="shared" ref="O65:O68" si="43">H65*0.334</f>
        <v>179960.47588</v>
      </c>
      <c r="P65" s="26">
        <f t="shared" ref="P65:P68" si="44">H65*0.313</f>
        <v>168645.59566</v>
      </c>
      <c r="Q65" s="26">
        <f t="shared" ref="Q65:Q68" si="45">H65-O65-P65</f>
        <v>190197.74846</v>
      </c>
      <c r="R65" s="26">
        <f>SUM(I65:Q65)</f>
        <v>538803.82</v>
      </c>
      <c r="S65" s="24" t="e">
        <f>SUM(#REF!)</f>
        <v>#REF!</v>
      </c>
      <c r="T65" s="32">
        <f>B65+30</f>
        <v>84</v>
      </c>
      <c r="U65" s="11">
        <v>56</v>
      </c>
      <c r="W65" s="11">
        <v>11</v>
      </c>
    </row>
    <row r="66" ht="16.5" customHeight="1" spans="1:22">
      <c r="A66" s="6">
        <v>11</v>
      </c>
      <c r="B66" s="6">
        <v>100</v>
      </c>
      <c r="C66" s="18" t="s">
        <v>28</v>
      </c>
      <c r="D66" s="19"/>
      <c r="E66" s="19">
        <v>786916.68</v>
      </c>
      <c r="F66" s="19"/>
      <c r="G66" s="19"/>
      <c r="H66" s="20">
        <v>786916.68</v>
      </c>
      <c r="I66" s="20"/>
      <c r="J66" s="20"/>
      <c r="K66" s="20"/>
      <c r="L66" s="20"/>
      <c r="M66" s="20"/>
      <c r="N66" s="20"/>
      <c r="O66" s="20">
        <f>H66*0.334</f>
        <v>262830.17112</v>
      </c>
      <c r="P66" s="26">
        <f>H66*0.313</f>
        <v>246304.92084</v>
      </c>
      <c r="Q66" s="26">
        <f>H66-O66-P66</f>
        <v>277781.58804</v>
      </c>
      <c r="R66" s="26">
        <f>SUM(I66:Q66)</f>
        <v>786916.68</v>
      </c>
      <c r="S66" s="24" t="e">
        <f>SUM(#REF!)</f>
        <v>#REF!</v>
      </c>
      <c r="T66" s="32">
        <f>B66+30</f>
        <v>130</v>
      </c>
      <c r="U66" s="11">
        <v>57</v>
      </c>
      <c r="V66" s="11">
        <v>11</v>
      </c>
    </row>
    <row r="67" ht="16.5" customHeight="1" spans="1:24">
      <c r="A67" s="6">
        <v>11</v>
      </c>
      <c r="B67" s="6">
        <v>63</v>
      </c>
      <c r="C67" s="18" t="s">
        <v>29</v>
      </c>
      <c r="D67" s="19"/>
      <c r="E67" s="19"/>
      <c r="F67" s="19">
        <v>141101.92</v>
      </c>
      <c r="G67" s="19"/>
      <c r="H67" s="20">
        <v>141101.92</v>
      </c>
      <c r="I67" s="20"/>
      <c r="J67" s="20"/>
      <c r="K67" s="20"/>
      <c r="L67" s="20"/>
      <c r="M67" s="20"/>
      <c r="N67" s="20"/>
      <c r="O67" s="20">
        <f>H67*0.334</f>
        <v>47128.04128</v>
      </c>
      <c r="P67" s="26">
        <f>H67*0.313</f>
        <v>44164.90096</v>
      </c>
      <c r="Q67" s="26">
        <f>H67-O67-P67</f>
        <v>49808.97776</v>
      </c>
      <c r="R67" s="26">
        <f>SUM(I67:Q67)</f>
        <v>141101.92</v>
      </c>
      <c r="S67" s="24" t="e">
        <f>SUM(#REF!)</f>
        <v>#REF!</v>
      </c>
      <c r="T67" s="32">
        <f>B67+30</f>
        <v>93</v>
      </c>
      <c r="U67" s="11">
        <v>58</v>
      </c>
      <c r="X67" s="11">
        <v>11</v>
      </c>
    </row>
    <row r="68" ht="16.5" customHeight="1" spans="1:20">
      <c r="A68" s="6">
        <v>11</v>
      </c>
      <c r="B68" s="6">
        <v>30</v>
      </c>
      <c r="C68" s="18" t="s">
        <v>30</v>
      </c>
      <c r="D68" s="19"/>
      <c r="E68" s="19"/>
      <c r="F68" s="19"/>
      <c r="G68" s="19">
        <v>3791.83</v>
      </c>
      <c r="H68" s="20">
        <v>3791.83</v>
      </c>
      <c r="I68" s="20"/>
      <c r="J68" s="20"/>
      <c r="K68" s="20"/>
      <c r="L68" s="20"/>
      <c r="M68" s="20"/>
      <c r="N68" s="20"/>
      <c r="O68" s="20">
        <f>H68*0.334</f>
        <v>1266.47122</v>
      </c>
      <c r="P68" s="26">
        <f>H68*0.313</f>
        <v>1186.84279</v>
      </c>
      <c r="Q68" s="26">
        <f>H68-O68-P68</f>
        <v>1338.51599</v>
      </c>
      <c r="R68" s="26">
        <f>SUM(I68:Q68)</f>
        <v>3791.83</v>
      </c>
      <c r="S68" s="24"/>
      <c r="T68" s="32">
        <f>B68+30</f>
        <v>60</v>
      </c>
    </row>
    <row r="69" s="9" customFormat="1" ht="16.5" customHeight="1" spans="1:25">
      <c r="A69" s="21"/>
      <c r="B69" s="6"/>
      <c r="C69" s="5" t="s">
        <v>31</v>
      </c>
      <c r="D69" s="22">
        <v>538803.82</v>
      </c>
      <c r="E69" s="22">
        <v>786916.68</v>
      </c>
      <c r="F69" s="22">
        <v>141101.92</v>
      </c>
      <c r="G69" s="22">
        <v>3791.83</v>
      </c>
      <c r="H69" s="22">
        <v>1470614.25</v>
      </c>
      <c r="I69" s="20"/>
      <c r="J69" s="20"/>
      <c r="K69" s="20"/>
      <c r="L69" s="20"/>
      <c r="M69" s="20"/>
      <c r="N69" s="20"/>
      <c r="O69" s="20"/>
      <c r="P69" s="26"/>
      <c r="Q69" s="26"/>
      <c r="R69" s="26"/>
      <c r="S69" s="24" t="e">
        <f>SUM(#REF!)</f>
        <v>#REF!</v>
      </c>
      <c r="T69" s="32">
        <f>B69+30</f>
        <v>30</v>
      </c>
      <c r="U69" s="11">
        <v>59</v>
      </c>
      <c r="V69" s="11"/>
      <c r="W69" s="10"/>
      <c r="X69" s="10"/>
      <c r="Y69" s="10"/>
    </row>
    <row r="70" s="9" customFormat="1" ht="16.5" customHeight="1" spans="1:25">
      <c r="A70" s="21"/>
      <c r="B70" s="6"/>
      <c r="C70" s="5" t="s">
        <v>32</v>
      </c>
      <c r="D70" s="22">
        <v>5962508.02</v>
      </c>
      <c r="E70" s="22">
        <v>8375855.31</v>
      </c>
      <c r="F70" s="22">
        <v>1551933</v>
      </c>
      <c r="G70" s="22">
        <v>42367.58</v>
      </c>
      <c r="H70" s="23">
        <v>15932663.91</v>
      </c>
      <c r="I70" s="20"/>
      <c r="J70" s="20"/>
      <c r="K70" s="20"/>
      <c r="L70" s="20"/>
      <c r="M70" s="20"/>
      <c r="N70" s="20"/>
      <c r="O70" s="20"/>
      <c r="P70" s="26"/>
      <c r="Q70" s="26"/>
      <c r="R70" s="26"/>
      <c r="S70" s="24" t="e">
        <f>SUM(#REF!)</f>
        <v>#REF!</v>
      </c>
      <c r="T70" s="32">
        <f>B70+30</f>
        <v>30</v>
      </c>
      <c r="U70" s="11">
        <v>60</v>
      </c>
      <c r="V70" s="10"/>
      <c r="W70" s="10"/>
      <c r="X70" s="10"/>
      <c r="Y70" s="10"/>
    </row>
    <row r="71" ht="16.5" customHeight="1" spans="1:23">
      <c r="A71" s="6">
        <v>12</v>
      </c>
      <c r="B71" s="6">
        <v>60</v>
      </c>
      <c r="C71" s="18" t="s">
        <v>27</v>
      </c>
      <c r="D71" s="19">
        <v>515136.59</v>
      </c>
      <c r="E71" s="19"/>
      <c r="F71" s="19"/>
      <c r="G71" s="19"/>
      <c r="H71" s="20">
        <f t="shared" ref="H71:H74" si="46">SUM(D71:G71)</f>
        <v>515136.59</v>
      </c>
      <c r="I71" s="20"/>
      <c r="J71" s="20"/>
      <c r="K71" s="20"/>
      <c r="L71" s="20"/>
      <c r="M71" s="20"/>
      <c r="N71" s="20"/>
      <c r="O71" s="20"/>
      <c r="P71" s="26"/>
      <c r="Q71" s="26">
        <f t="shared" ref="Q71:Q74" si="47">H71</f>
        <v>515136.59</v>
      </c>
      <c r="R71" s="26">
        <f t="shared" ref="R71:R74" si="48">SUM(I71:Q71)</f>
        <v>515136.59</v>
      </c>
      <c r="S71" s="24" t="e">
        <f>SUM(#REF!)</f>
        <v>#REF!</v>
      </c>
      <c r="T71" s="32">
        <f>B71+30</f>
        <v>90</v>
      </c>
      <c r="U71" s="11">
        <v>61</v>
      </c>
      <c r="W71" s="11">
        <v>12</v>
      </c>
    </row>
    <row r="72" ht="16.5" customHeight="1" spans="1:22">
      <c r="A72" s="6">
        <v>12</v>
      </c>
      <c r="B72" s="6">
        <v>67</v>
      </c>
      <c r="C72" s="18" t="s">
        <v>28</v>
      </c>
      <c r="D72" s="19"/>
      <c r="E72" s="19">
        <v>864973.08</v>
      </c>
      <c r="F72" s="19"/>
      <c r="G72" s="19"/>
      <c r="H72" s="20">
        <f>SUM(D72:G72)</f>
        <v>864973.08</v>
      </c>
      <c r="I72" s="20"/>
      <c r="J72" s="20"/>
      <c r="K72" s="20"/>
      <c r="L72" s="20"/>
      <c r="M72" s="20"/>
      <c r="N72" s="20"/>
      <c r="O72" s="20"/>
      <c r="P72" s="26"/>
      <c r="Q72" s="26">
        <f>H72</f>
        <v>864973.08</v>
      </c>
      <c r="R72" s="26">
        <f>SUM(I72:Q72)</f>
        <v>864973.08</v>
      </c>
      <c r="S72" s="24" t="e">
        <f>SUM(#REF!)</f>
        <v>#REF!</v>
      </c>
      <c r="T72" s="32">
        <f>B72+30</f>
        <v>97</v>
      </c>
      <c r="U72" s="11">
        <v>62</v>
      </c>
      <c r="V72" s="11">
        <v>12</v>
      </c>
    </row>
    <row r="73" ht="16.5" customHeight="1" spans="1:24">
      <c r="A73" s="6">
        <v>12</v>
      </c>
      <c r="B73" s="6">
        <v>116</v>
      </c>
      <c r="C73" s="18" t="s">
        <v>29</v>
      </c>
      <c r="D73" s="19"/>
      <c r="E73" s="19"/>
      <c r="F73" s="19">
        <v>164882.26</v>
      </c>
      <c r="G73" s="19"/>
      <c r="H73" s="20">
        <f>SUM(D73:G73)</f>
        <v>164882.26</v>
      </c>
      <c r="I73" s="20"/>
      <c r="J73" s="20"/>
      <c r="K73" s="20"/>
      <c r="L73" s="20"/>
      <c r="M73" s="20"/>
      <c r="N73" s="20"/>
      <c r="O73" s="20"/>
      <c r="P73" s="26"/>
      <c r="Q73" s="26">
        <f>H73</f>
        <v>164882.26</v>
      </c>
      <c r="R73" s="26">
        <f>SUM(I73:Q73)</f>
        <v>164882.26</v>
      </c>
      <c r="S73" s="24" t="e">
        <f>SUM(#REF!)</f>
        <v>#REF!</v>
      </c>
      <c r="T73" s="32">
        <f>B73+30</f>
        <v>146</v>
      </c>
      <c r="U73" s="11">
        <v>63</v>
      </c>
      <c r="X73" s="11">
        <v>12</v>
      </c>
    </row>
    <row r="74" ht="16.5" customHeight="1" spans="1:25">
      <c r="A74" s="6">
        <v>12</v>
      </c>
      <c r="B74" s="6">
        <v>87</v>
      </c>
      <c r="C74" s="18" t="s">
        <v>30</v>
      </c>
      <c r="D74" s="19"/>
      <c r="E74" s="19"/>
      <c r="F74" s="19"/>
      <c r="G74" s="19">
        <v>4344.16</v>
      </c>
      <c r="H74" s="20">
        <f>SUM(D74:G74)</f>
        <v>4344.16</v>
      </c>
      <c r="I74" s="20"/>
      <c r="J74" s="20"/>
      <c r="K74" s="20"/>
      <c r="L74" s="20"/>
      <c r="M74" s="20"/>
      <c r="N74" s="20"/>
      <c r="O74" s="20"/>
      <c r="P74" s="26"/>
      <c r="Q74" s="26">
        <f>H74</f>
        <v>4344.16</v>
      </c>
      <c r="R74" s="26">
        <f>SUM(I74:Q74)</f>
        <v>4344.16</v>
      </c>
      <c r="S74" s="24" t="e">
        <f>SUM(#REF!)</f>
        <v>#REF!</v>
      </c>
      <c r="T74" s="32">
        <f>B74+30</f>
        <v>117</v>
      </c>
      <c r="U74" s="11">
        <v>64</v>
      </c>
      <c r="Y74" s="11">
        <v>6</v>
      </c>
    </row>
    <row r="75" ht="16.5" customHeight="1" spans="1:21">
      <c r="A75" s="6"/>
      <c r="B75" s="6"/>
      <c r="C75" s="5" t="s">
        <v>31</v>
      </c>
      <c r="D75" s="22">
        <f t="shared" ref="D75:H75" si="49">SUM(D71:D74)</f>
        <v>515136.59</v>
      </c>
      <c r="E75" s="22">
        <f>SUM(E71:E74)</f>
        <v>864973.08</v>
      </c>
      <c r="F75" s="22">
        <f>SUM(F71:F74)</f>
        <v>164882.26</v>
      </c>
      <c r="G75" s="22">
        <f>SUM(G71:G74)</f>
        <v>4344.16</v>
      </c>
      <c r="H75" s="22">
        <f>SUM(H71:H74)</f>
        <v>1549336.09</v>
      </c>
      <c r="I75" s="20"/>
      <c r="J75" s="20"/>
      <c r="K75" s="20"/>
      <c r="L75" s="20"/>
      <c r="M75" s="20"/>
      <c r="N75" s="20"/>
      <c r="O75" s="20"/>
      <c r="P75" s="26"/>
      <c r="Q75" s="26"/>
      <c r="R75" s="26"/>
      <c r="S75" s="24" t="e">
        <f>SUM(#REF!)</f>
        <v>#REF!</v>
      </c>
      <c r="T75" s="32">
        <f>B75+30</f>
        <v>30</v>
      </c>
      <c r="U75" s="11">
        <v>65</v>
      </c>
    </row>
    <row r="76" ht="16.5" customHeight="1" spans="1:21">
      <c r="A76" s="6"/>
      <c r="B76" s="6"/>
      <c r="C76" s="22" t="s">
        <v>32</v>
      </c>
      <c r="D76" s="22">
        <f t="shared" ref="D76:H76" si="50">D70+D75</f>
        <v>6477644.61</v>
      </c>
      <c r="E76" s="22">
        <f>E70+E75</f>
        <v>9240828.39</v>
      </c>
      <c r="F76" s="22">
        <f>F70+F75</f>
        <v>1716815.26</v>
      </c>
      <c r="G76" s="22">
        <f>G70+G75</f>
        <v>46711.74</v>
      </c>
      <c r="H76" s="22">
        <f>H70+H75</f>
        <v>17482000</v>
      </c>
      <c r="I76" s="48">
        <f t="shared" ref="I76:R76" si="51">SUM(I5:I75)</f>
        <v>3224887.9314</v>
      </c>
      <c r="J76" s="48">
        <f>SUM(J5:J75)</f>
        <v>1950523.89486</v>
      </c>
      <c r="K76" s="48">
        <f>SUM(K5:K75)</f>
        <v>1854844.0934</v>
      </c>
      <c r="L76" s="48">
        <f>SUM(L5:L75)</f>
        <v>1762053.9396</v>
      </c>
      <c r="M76" s="48">
        <f>SUM(M5:M75)</f>
        <v>1254077.38092</v>
      </c>
      <c r="N76" s="48">
        <f>SUM(N5:N75)</f>
        <v>1453744.73502</v>
      </c>
      <c r="O76" s="48">
        <f>SUM(O5:O75)</f>
        <v>1655594.87403</v>
      </c>
      <c r="P76" s="48">
        <f>SUM(P5:P75)</f>
        <v>1236559.57396</v>
      </c>
      <c r="Q76" s="48">
        <f>SUM(Q5:Q75)</f>
        <v>3089713.57681</v>
      </c>
      <c r="R76" s="48">
        <f>SUM(R5:R75)</f>
        <v>17482000</v>
      </c>
      <c r="S76" s="23" t="e">
        <f>SUM(S4:S75)</f>
        <v>#REF!</v>
      </c>
      <c r="T76" s="32">
        <f>B76+30</f>
        <v>30</v>
      </c>
      <c r="U76" s="11">
        <v>66</v>
      </c>
    </row>
    <row r="77" spans="1:20">
      <c r="A77" s="33"/>
      <c r="B77" s="33"/>
      <c r="C77" s="34"/>
      <c r="D77" s="35">
        <f t="shared" ref="D77:G77" si="52">D76/$H$76</f>
        <v>0.370532239446288</v>
      </c>
      <c r="E77" s="35">
        <f>E76/$H$76</f>
        <v>0.528591030202494</v>
      </c>
      <c r="F77" s="35">
        <f>F76/$H$76</f>
        <v>0.0982047397322961</v>
      </c>
      <c r="G77" s="35">
        <f>G76/$H$76</f>
        <v>0.00267199061892232</v>
      </c>
      <c r="H77" s="33"/>
      <c r="I77" s="33"/>
      <c r="J77" s="33"/>
      <c r="K77" s="33"/>
      <c r="L77" s="33"/>
      <c r="M77" s="33"/>
      <c r="N77" s="33"/>
      <c r="O77" s="33"/>
      <c r="P77" s="33"/>
      <c r="Q77" s="33"/>
      <c r="R77" s="44"/>
      <c r="S77" s="33"/>
      <c r="T77" s="32"/>
    </row>
    <row r="78" spans="1:20">
      <c r="A78" s="33"/>
      <c r="B78" s="33"/>
      <c r="C78" s="34"/>
      <c r="D78" s="33"/>
      <c r="E78" s="33"/>
      <c r="F78" s="33"/>
      <c r="G78" s="16" t="s">
        <v>56</v>
      </c>
      <c r="H78" s="36"/>
      <c r="I78" s="37"/>
      <c r="J78" s="37"/>
      <c r="K78" s="37"/>
      <c r="L78" s="37"/>
      <c r="M78" s="37"/>
      <c r="N78" s="37"/>
      <c r="O78" s="37"/>
      <c r="P78" s="37"/>
      <c r="Q78" s="37"/>
      <c r="R78" s="45"/>
      <c r="S78" s="37"/>
      <c r="T78" s="32"/>
    </row>
    <row r="79" spans="1:20">
      <c r="A79" s="33"/>
      <c r="B79" s="33"/>
      <c r="C79" s="34"/>
      <c r="D79" s="33"/>
      <c r="E79" s="33"/>
      <c r="F79" s="33"/>
      <c r="G79" s="33"/>
      <c r="H79" s="37"/>
      <c r="I79" s="37"/>
      <c r="J79" s="37"/>
      <c r="K79" s="37"/>
      <c r="L79" s="37"/>
      <c r="M79" s="37"/>
      <c r="N79" s="37"/>
      <c r="O79" s="37"/>
      <c r="P79" s="37"/>
      <c r="Q79" s="37"/>
      <c r="R79" s="45"/>
      <c r="S79" s="37"/>
      <c r="T79" s="37"/>
    </row>
    <row r="80" spans="1:20">
      <c r="A80" s="33"/>
      <c r="B80" s="33"/>
      <c r="C80" s="34"/>
      <c r="D80" s="33">
        <v>1</v>
      </c>
      <c r="E80" s="33">
        <v>2</v>
      </c>
      <c r="F80" s="33">
        <v>3</v>
      </c>
      <c r="G80" s="16" t="s">
        <v>57</v>
      </c>
      <c r="H80" s="36">
        <v>17482000</v>
      </c>
      <c r="I80" s="37"/>
      <c r="J80" s="37"/>
      <c r="K80" s="37"/>
      <c r="L80" s="37"/>
      <c r="M80" s="37"/>
      <c r="N80" s="37"/>
      <c r="O80" s="37"/>
      <c r="P80" s="37"/>
      <c r="Q80" s="37"/>
      <c r="R80" s="45">
        <f>SUBTOTAL(9,R5:R74)</f>
        <v>17482000</v>
      </c>
      <c r="S80" s="45" t="e">
        <f>SUBTOTAL(9,S5:S74)</f>
        <v>#REF!</v>
      </c>
      <c r="T80" s="45"/>
    </row>
    <row r="81" spans="1:20">
      <c r="A81" s="33"/>
      <c r="B81" s="33"/>
      <c r="C81" s="34"/>
      <c r="D81" s="33"/>
      <c r="E81" s="33"/>
      <c r="F81" s="33"/>
      <c r="G81" s="16" t="s">
        <v>58</v>
      </c>
      <c r="H81" s="36">
        <f>H80-H76</f>
        <v>0</v>
      </c>
      <c r="I81" s="37"/>
      <c r="J81" s="37"/>
      <c r="K81" s="37"/>
      <c r="L81" s="37"/>
      <c r="M81" s="37"/>
      <c r="N81" s="37"/>
      <c r="O81" s="37"/>
      <c r="P81" s="37"/>
      <c r="Q81" s="37"/>
      <c r="R81" s="45"/>
      <c r="S81" s="37"/>
      <c r="T81" s="37"/>
    </row>
    <row r="82" spans="1:20">
      <c r="A82" s="33"/>
      <c r="B82" s="33"/>
      <c r="C82" s="34"/>
      <c r="D82" s="33"/>
      <c r="E82" s="33"/>
      <c r="F82" s="33"/>
      <c r="G82" s="33"/>
      <c r="H82" s="37"/>
      <c r="I82" s="37"/>
      <c r="J82" s="37"/>
      <c r="K82" s="37"/>
      <c r="L82" s="37"/>
      <c r="M82" s="37"/>
      <c r="N82" s="37"/>
      <c r="O82" s="37"/>
      <c r="P82" s="37"/>
      <c r="Q82" s="37"/>
      <c r="R82" s="45"/>
      <c r="S82" s="37"/>
      <c r="T82" s="37"/>
    </row>
    <row r="83" spans="1:20">
      <c r="A83" s="33"/>
      <c r="B83" s="33"/>
      <c r="C83" s="34"/>
      <c r="D83" s="38">
        <f ca="1">RANDBETWEEN(30000000,40000000)*0.00000001*$H$80</f>
        <v>6565606.3516</v>
      </c>
      <c r="E83" s="38">
        <f ca="1">H80-D83-F83-G83</f>
        <v>9247025.58064</v>
      </c>
      <c r="F83" s="38">
        <f ca="1">RANDBETWEEN(8000000,12000000)*0.00000001*$H$80</f>
        <v>1635290.92962</v>
      </c>
      <c r="G83" s="38">
        <f ca="1">RANDBETWEEN(100000,400000)*0.00000001*$H$80</f>
        <v>34077.13814</v>
      </c>
      <c r="H83" s="39">
        <f>SUBTOTAL(9,H5:H74)</f>
        <v>128751339</v>
      </c>
      <c r="I83" s="39"/>
      <c r="J83" s="39"/>
      <c r="K83" s="39"/>
      <c r="L83" s="39"/>
      <c r="M83" s="39"/>
      <c r="N83" s="39"/>
      <c r="O83" s="39"/>
      <c r="P83" s="39"/>
      <c r="Q83" s="39"/>
      <c r="S83" s="14"/>
      <c r="T83" s="14"/>
    </row>
    <row r="84" spans="1:20">
      <c r="A84" s="33"/>
      <c r="B84" s="33"/>
      <c r="C84" s="34">
        <v>1</v>
      </c>
      <c r="D84" s="38">
        <f ca="1" t="shared" ref="D84:G84" si="53">RANDBETWEEN(95000000,105000000)*0.00000001*D$83/12</f>
        <v>570342.055506387</v>
      </c>
      <c r="E84" s="38">
        <f ca="1">RANDBETWEEN(95000000,105000000)*0.00000001*E$83/12</f>
        <v>780894.4113458</v>
      </c>
      <c r="F84" s="38">
        <f ca="1">RANDBETWEEN(95000000,105000000)*0.00000001*F$83/12</f>
        <v>142920.948167335</v>
      </c>
      <c r="G84" s="38">
        <f ca="1">RANDBETWEEN(95000000,105000000)*0.00000001*G$83/12</f>
        <v>2842.2968791419</v>
      </c>
      <c r="H84" s="14"/>
      <c r="I84" s="14"/>
      <c r="J84" s="14"/>
      <c r="K84" s="14"/>
      <c r="L84" s="14"/>
      <c r="M84" s="14"/>
      <c r="N84" s="14"/>
      <c r="O84" s="14"/>
      <c r="P84" s="14"/>
      <c r="Q84" s="14"/>
      <c r="S84" s="14"/>
      <c r="T84" s="14"/>
    </row>
    <row r="85" spans="1:20">
      <c r="A85" s="33"/>
      <c r="B85" s="33"/>
      <c r="C85" s="34">
        <v>2</v>
      </c>
      <c r="D85" s="38">
        <f ca="1" t="shared" ref="D85:G85" si="54">RANDBETWEEN(95000000,105000000)*0.00000001*D$83/12</f>
        <v>546059.154943656</v>
      </c>
      <c r="E85" s="38">
        <f ca="1">RANDBETWEEN(95000000,105000000)*0.00000001*E$83/12</f>
        <v>749087.702572694</v>
      </c>
      <c r="F85" s="38">
        <f ca="1">RANDBETWEEN(95000000,105000000)*0.00000001*F$83/12</f>
        <v>137402.524013831</v>
      </c>
      <c r="G85" s="38">
        <f ca="1">RANDBETWEEN(95000000,105000000)*0.00000001*G$83/12</f>
        <v>2749.20492477343</v>
      </c>
      <c r="H85" s="14"/>
      <c r="I85" s="14"/>
      <c r="J85" s="14"/>
      <c r="K85" s="14"/>
      <c r="L85" s="14"/>
      <c r="M85" s="14"/>
      <c r="N85" s="14"/>
      <c r="O85" s="14"/>
      <c r="P85" s="14"/>
      <c r="Q85" s="14"/>
      <c r="S85" s="14"/>
      <c r="T85" s="14"/>
    </row>
    <row r="86" spans="1:20">
      <c r="A86" s="33"/>
      <c r="B86" s="33"/>
      <c r="C86" s="34">
        <v>3</v>
      </c>
      <c r="D86" s="38">
        <f ca="1" t="shared" ref="D86:G86" si="55">RANDBETWEEN(95000000,105000000)*0.00000001*D$83/12</f>
        <v>520188.192873293</v>
      </c>
      <c r="E86" s="38">
        <f ca="1">RANDBETWEEN(95000000,105000000)*0.00000001*E$83/12</f>
        <v>760361.491220099</v>
      </c>
      <c r="F86" s="38">
        <f ca="1">RANDBETWEEN(95000000,105000000)*0.00000001*F$83/12</f>
        <v>136811.067902179</v>
      </c>
      <c r="G86" s="38">
        <f ca="1">RANDBETWEEN(95000000,105000000)*0.00000001*G$83/12</f>
        <v>2751.0385303839</v>
      </c>
      <c r="H86" s="40"/>
      <c r="I86" s="40"/>
      <c r="J86" s="40"/>
      <c r="K86" s="40"/>
      <c r="L86" s="40"/>
      <c r="M86" s="40"/>
      <c r="N86" s="40"/>
      <c r="O86" s="40"/>
      <c r="P86" s="40"/>
      <c r="Q86" s="40"/>
      <c r="S86" s="14"/>
      <c r="T86" s="14"/>
    </row>
    <row r="87" spans="3:20">
      <c r="C87" s="34">
        <v>4</v>
      </c>
      <c r="D87" s="38">
        <f ca="1" t="shared" ref="D87:G87" si="56">RANDBETWEEN(95000000,105000000)*0.00000001*D$83/12</f>
        <v>538153.880386721</v>
      </c>
      <c r="E87" s="38">
        <f ca="1">RANDBETWEEN(95000000,105000000)*0.00000001*E$83/12</f>
        <v>790317.862468663</v>
      </c>
      <c r="F87" s="38">
        <f ca="1">RANDBETWEEN(95000000,105000000)*0.00000001*F$83/12</f>
        <v>131245.413821142</v>
      </c>
      <c r="G87" s="38">
        <f ca="1">RANDBETWEEN(95000000,105000000)*0.00000001*G$83/12</f>
        <v>2899.9625814714</v>
      </c>
      <c r="H87" s="41"/>
      <c r="I87" s="41"/>
      <c r="J87" s="41"/>
      <c r="K87" s="41"/>
      <c r="L87" s="41"/>
      <c r="M87" s="41"/>
      <c r="N87" s="41"/>
      <c r="O87" s="41"/>
      <c r="P87" s="41"/>
      <c r="Q87" s="41"/>
      <c r="R87" s="46"/>
      <c r="S87" s="41"/>
      <c r="T87" s="41"/>
    </row>
    <row r="88" spans="3:7">
      <c r="C88" s="34">
        <v>5</v>
      </c>
      <c r="D88" s="38">
        <f ca="1" t="shared" ref="D88:G88" si="57">RANDBETWEEN(95000000,105000000)*0.00000001*D$83/12</f>
        <v>547352.333184683</v>
      </c>
      <c r="E88" s="38">
        <f ca="1">RANDBETWEEN(95000000,105000000)*0.00000001*E$83/12</f>
        <v>796350.591134054</v>
      </c>
      <c r="F88" s="38">
        <f ca="1">RANDBETWEEN(95000000,105000000)*0.00000001*F$83/12</f>
        <v>130621.291410428</v>
      </c>
      <c r="G88" s="38">
        <f ca="1">RANDBETWEEN(95000000,105000000)*0.00000001*G$83/12</f>
        <v>2769.97016967042</v>
      </c>
    </row>
    <row r="89" spans="3:7">
      <c r="C89" s="34">
        <v>6</v>
      </c>
      <c r="D89" s="38">
        <f ca="1" t="shared" ref="D89:G89" si="58">RANDBETWEEN(95000000,105000000)*0.00000001*D$83/12</f>
        <v>528088.368142628</v>
      </c>
      <c r="E89" s="38">
        <f ca="1">RANDBETWEEN(95000000,105000000)*0.00000001*E$83/12</f>
        <v>804855.142207406</v>
      </c>
      <c r="F89" s="38">
        <f ca="1">RANDBETWEEN(95000000,105000000)*0.00000001*F$83/12</f>
        <v>136236.635169104</v>
      </c>
      <c r="G89" s="38">
        <f ca="1">RANDBETWEEN(95000000,105000000)*0.00000001*G$83/12</f>
        <v>2842.2144124676</v>
      </c>
    </row>
    <row r="90" spans="3:7">
      <c r="C90" s="34">
        <v>7</v>
      </c>
      <c r="D90" s="38">
        <f ca="1" t="shared" ref="D90:G90" si="59">RANDBETWEEN(95000000,105000000)*0.00000001*D$83/12</f>
        <v>547636.706009786</v>
      </c>
      <c r="E90" s="38">
        <f ca="1">RANDBETWEEN(95000000,105000000)*0.00000001*E$83/12</f>
        <v>802956.535209335</v>
      </c>
      <c r="F90" s="38">
        <f ca="1">RANDBETWEEN(95000000,105000000)*0.00000001*F$83/12</f>
        <v>133289.900874596</v>
      </c>
      <c r="G90" s="38">
        <f ca="1">RANDBETWEEN(95000000,105000000)*0.00000001*G$83/12</f>
        <v>2933.63968240725</v>
      </c>
    </row>
    <row r="91" spans="3:7">
      <c r="C91" s="34">
        <v>8</v>
      </c>
      <c r="D91" s="38">
        <f ca="1" t="shared" ref="D91:G91" si="60">RANDBETWEEN(95000000,105000000)*0.00000001*D$83/12</f>
        <v>541718.211291539</v>
      </c>
      <c r="E91" s="38">
        <f ca="1">RANDBETWEEN(95000000,105000000)*0.00000001*E$83/12</f>
        <v>792160.170492658</v>
      </c>
      <c r="F91" s="38">
        <f ca="1">RANDBETWEEN(95000000,105000000)*0.00000001*F$83/12</f>
        <v>131747.828341676</v>
      </c>
      <c r="G91" s="38">
        <f ca="1">RANDBETWEEN(95000000,105000000)*0.00000001*G$83/12</f>
        <v>2715.52697190913</v>
      </c>
    </row>
    <row r="92" spans="3:17">
      <c r="C92" s="34">
        <v>9</v>
      </c>
      <c r="D92" s="38">
        <f ca="1" t="shared" ref="D92:G92" si="61">RANDBETWEEN(95000000,105000000)*0.00000001*D$83/12</f>
        <v>521896.629302043</v>
      </c>
      <c r="E92" s="38">
        <f ca="1">RANDBETWEEN(95000000,105000000)*0.00000001*E$83/12</f>
        <v>776640.45593281</v>
      </c>
      <c r="F92" s="38">
        <f ca="1">RANDBETWEEN(95000000,105000000)*0.00000001*F$83/12</f>
        <v>129736.822507264</v>
      </c>
      <c r="G92" s="38">
        <f ca="1">RANDBETWEEN(95000000,105000000)*0.00000001*G$83/12</f>
        <v>2864.91043961399</v>
      </c>
      <c r="H92" s="42"/>
      <c r="I92" s="42"/>
      <c r="J92" s="42"/>
      <c r="K92" s="42"/>
      <c r="L92" s="42"/>
      <c r="M92" s="42"/>
      <c r="N92" s="42"/>
      <c r="O92" s="42"/>
      <c r="P92" s="42"/>
      <c r="Q92" s="42"/>
    </row>
    <row r="93" spans="3:7">
      <c r="C93" s="34">
        <v>10</v>
      </c>
      <c r="D93" s="38">
        <f ca="1" t="shared" ref="D93:G93" si="62">RANDBETWEEN(95000000,105000000)*0.00000001*D$83/12</f>
        <v>549703.531532577</v>
      </c>
      <c r="E93" s="38">
        <f ca="1">RANDBETWEEN(95000000,105000000)*0.00000001*E$83/12</f>
        <v>763253.097766002</v>
      </c>
      <c r="F93" s="38">
        <f ca="1">RANDBETWEEN(95000000,105000000)*0.00000001*F$83/12</f>
        <v>133271.38801853</v>
      </c>
      <c r="G93" s="38">
        <f ca="1">RANDBETWEEN(95000000,105000000)*0.00000001*G$83/12</f>
        <v>2915.38254327498</v>
      </c>
    </row>
    <row r="94" spans="3:7">
      <c r="C94" s="34">
        <v>11</v>
      </c>
      <c r="D94" s="38">
        <f ca="1" t="shared" ref="D94:G94" si="63">RANDBETWEEN(95000000,105000000)*0.00000001*D$83/12</f>
        <v>569756.151738247</v>
      </c>
      <c r="E94" s="38">
        <f ca="1">RANDBETWEEN(95000000,105000000)*0.00000001*E$83/12</f>
        <v>774092.884973634</v>
      </c>
      <c r="F94" s="38">
        <f ca="1">RANDBETWEEN(95000000,105000000)*0.00000001*F$83/12</f>
        <v>135875.283569643</v>
      </c>
      <c r="G94" s="38">
        <f ca="1">RANDBETWEEN(95000000,105000000)*0.00000001*G$83/12</f>
        <v>2704.08037601505</v>
      </c>
    </row>
    <row r="95" spans="3:7">
      <c r="C95" s="34">
        <v>12</v>
      </c>
      <c r="D95" s="38">
        <f ca="1" t="shared" ref="D95:G95" si="64">D83-D84-D85-D86-D87-D88-D89-D90-D91-D92-D93-D94</f>
        <v>584711.136688441</v>
      </c>
      <c r="E95" s="38">
        <f ca="1">E83-E84-E85-E86-E87-E88-E89-E90-E91-E92-E93-E94</f>
        <v>656055.235316844</v>
      </c>
      <c r="F95" s="38">
        <f ca="1">F83-F84-F85-F86-F87-F88-F89-F90-F91-F92-F93-F94</f>
        <v>156131.825824273</v>
      </c>
      <c r="G95" s="38">
        <f ca="1">G83-G84-G85-G86-G87-G88-G89-G90-G91-G92-G93-G94</f>
        <v>3088.91062887095</v>
      </c>
    </row>
    <row r="98" spans="4:7">
      <c r="D98" s="43">
        <v>5431674.41</v>
      </c>
      <c r="E98" s="43">
        <v>10332960.06</v>
      </c>
      <c r="F98" s="43">
        <v>1494308.5</v>
      </c>
      <c r="G98" s="43">
        <v>37057.03</v>
      </c>
    </row>
    <row r="99" spans="4:7">
      <c r="D99" s="43">
        <v>457393.69</v>
      </c>
      <c r="E99" s="43">
        <v>862421.7</v>
      </c>
      <c r="F99" s="43">
        <v>129128.92</v>
      </c>
      <c r="G99" s="38">
        <v>6345.73</v>
      </c>
    </row>
    <row r="100" spans="4:7">
      <c r="D100" s="43">
        <v>444805.13</v>
      </c>
      <c r="E100" s="43">
        <v>850237.3</v>
      </c>
      <c r="F100" s="43">
        <v>120609.58</v>
      </c>
      <c r="G100" s="38">
        <v>6394.63</v>
      </c>
    </row>
    <row r="101" spans="4:7">
      <c r="D101" s="43">
        <v>457733.34</v>
      </c>
      <c r="E101" s="43">
        <v>861872.38</v>
      </c>
      <c r="F101" s="43">
        <v>128787.47</v>
      </c>
      <c r="G101" s="38">
        <v>6141.61</v>
      </c>
    </row>
    <row r="102" spans="4:7">
      <c r="D102" s="43">
        <v>462128.19</v>
      </c>
      <c r="E102" s="43">
        <v>866225.57</v>
      </c>
      <c r="F102" s="43">
        <v>118634.51</v>
      </c>
      <c r="G102" s="38">
        <v>5973.8</v>
      </c>
    </row>
    <row r="103" spans="4:7">
      <c r="D103" s="43">
        <v>451363.62</v>
      </c>
      <c r="E103" s="43">
        <v>836138.19</v>
      </c>
      <c r="F103" s="43">
        <v>129456</v>
      </c>
      <c r="G103" s="38">
        <v>5904.01</v>
      </c>
    </row>
    <row r="104" spans="4:7">
      <c r="D104" s="43">
        <v>438150.3</v>
      </c>
      <c r="E104" s="43">
        <v>852222.84</v>
      </c>
      <c r="F104" s="43">
        <v>119834.93</v>
      </c>
      <c r="G104" s="43">
        <v>6297.25</v>
      </c>
    </row>
    <row r="105" spans="4:7">
      <c r="D105" s="43">
        <v>458867.17</v>
      </c>
      <c r="E105" s="43">
        <v>851327.14</v>
      </c>
      <c r="F105" s="43">
        <v>122154.32</v>
      </c>
      <c r="G105" s="43"/>
    </row>
    <row r="106" spans="4:7">
      <c r="D106" s="43">
        <v>445055.46</v>
      </c>
      <c r="E106" s="43">
        <v>882586.37</v>
      </c>
      <c r="F106" s="43">
        <v>129405.93</v>
      </c>
      <c r="G106" s="43"/>
    </row>
    <row r="107" spans="4:7">
      <c r="D107" s="43">
        <v>453312.49</v>
      </c>
      <c r="E107" s="43">
        <v>878933.68</v>
      </c>
      <c r="F107" s="43">
        <v>121026.6</v>
      </c>
      <c r="G107" s="43"/>
    </row>
    <row r="108" spans="4:7">
      <c r="D108" s="43">
        <v>445836.92</v>
      </c>
      <c r="E108" s="43">
        <v>842349.19</v>
      </c>
      <c r="F108" s="43">
        <v>123661.73</v>
      </c>
      <c r="G108" s="43"/>
    </row>
    <row r="109" spans="4:7">
      <c r="D109" s="43">
        <v>459889.67</v>
      </c>
      <c r="E109" s="43">
        <v>857853.17</v>
      </c>
      <c r="F109" s="43">
        <v>123420.66</v>
      </c>
      <c r="G109" s="43"/>
    </row>
    <row r="110" spans="4:7">
      <c r="D110" s="43">
        <v>457138.43</v>
      </c>
      <c r="E110" s="43">
        <v>890792.53</v>
      </c>
      <c r="F110" s="43">
        <v>128187.85</v>
      </c>
      <c r="G110" s="43"/>
    </row>
    <row r="116" spans="7:7">
      <c r="G116" s="38"/>
    </row>
    <row r="117" spans="7:7">
      <c r="G117" s="38"/>
    </row>
    <row r="118" spans="7:7">
      <c r="G118" s="38"/>
    </row>
    <row r="119" spans="7:7">
      <c r="G119" s="38"/>
    </row>
    <row r="120" spans="7:7">
      <c r="G120" s="38"/>
    </row>
    <row r="121" spans="7:7">
      <c r="G121" s="38"/>
    </row>
    <row r="122" spans="7:7">
      <c r="G122" s="38"/>
    </row>
    <row r="123" spans="7:7">
      <c r="G123" s="38"/>
    </row>
    <row r="124" spans="7:7">
      <c r="G124" s="38"/>
    </row>
    <row r="125" spans="7:7">
      <c r="G125" s="38"/>
    </row>
    <row r="126" spans="7:7">
      <c r="G126" s="38"/>
    </row>
    <row r="127" spans="7:7">
      <c r="G127" s="38"/>
    </row>
    <row r="128" spans="7:7">
      <c r="G128" s="38"/>
    </row>
  </sheetData>
  <autoFilter ref="A4:Y78"/>
  <mergeCells count="21">
    <mergeCell ref="A1:H1"/>
    <mergeCell ref="D2:H2"/>
    <mergeCell ref="A2:A3"/>
    <mergeCell ref="B2:B4"/>
    <mergeCell ref="C2:C4"/>
    <mergeCell ref="D3:D4"/>
    <mergeCell ref="E3:E4"/>
    <mergeCell ref="F3:F4"/>
    <mergeCell ref="G3:G4"/>
    <mergeCell ref="H3:H4"/>
    <mergeCell ref="I2:I4"/>
    <mergeCell ref="J2:J4"/>
    <mergeCell ref="K2:K4"/>
    <mergeCell ref="L2:L4"/>
    <mergeCell ref="M2:M4"/>
    <mergeCell ref="N2:N4"/>
    <mergeCell ref="O2:O4"/>
    <mergeCell ref="P2:P4"/>
    <mergeCell ref="Q2:Q4"/>
    <mergeCell ref="R1:R4"/>
    <mergeCell ref="S2:S4"/>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128"/>
  <sheetViews>
    <sheetView workbookViewId="0">
      <selection activeCell="A1" sqref="$A1:$XFD1048576"/>
    </sheetView>
  </sheetViews>
  <sheetFormatPr defaultColWidth="9" defaultRowHeight="13.5"/>
  <cols>
    <col min="1" max="1" width="8.25" style="11" customWidth="1"/>
    <col min="2" max="2" width="11.125" style="11" customWidth="1"/>
    <col min="3" max="3" width="33.375" style="12" customWidth="1"/>
    <col min="4" max="7" width="17.375" style="11" customWidth="1"/>
    <col min="8" max="8" width="19.875" style="11" customWidth="1"/>
    <col min="9" max="16" width="17.75" style="13" customWidth="1"/>
    <col min="17" max="17" width="19.75" style="11" hidden="1" customWidth="1"/>
    <col min="18" max="18" width="19.75" style="11" customWidth="1"/>
    <col min="19" max="23" width="10.125" style="11" customWidth="1"/>
    <col min="24" max="16384" width="9" style="14"/>
  </cols>
  <sheetData>
    <row r="1" ht="36.75" customHeight="1" spans="1:18">
      <c r="A1" s="15" t="s">
        <v>97</v>
      </c>
      <c r="B1" s="15"/>
      <c r="C1" s="15"/>
      <c r="D1" s="15"/>
      <c r="E1" s="15"/>
      <c r="F1" s="15"/>
      <c r="G1" s="15"/>
      <c r="H1" s="15"/>
      <c r="I1" s="25" t="s">
        <v>36</v>
      </c>
      <c r="J1" s="25" t="s">
        <v>36</v>
      </c>
      <c r="K1" s="25" t="s">
        <v>38</v>
      </c>
      <c r="L1" s="25" t="s">
        <v>38</v>
      </c>
      <c r="M1" s="25" t="s">
        <v>40</v>
      </c>
      <c r="N1" s="25" t="s">
        <v>40</v>
      </c>
      <c r="O1" s="25" t="s">
        <v>42</v>
      </c>
      <c r="P1" s="25" t="s">
        <v>42</v>
      </c>
      <c r="Q1" s="27"/>
      <c r="R1" s="27"/>
    </row>
    <row r="2" ht="21.95" customHeight="1" spans="1:18">
      <c r="A2" s="16" t="s">
        <v>3</v>
      </c>
      <c r="B2" s="16" t="s">
        <v>4</v>
      </c>
      <c r="C2" s="17" t="s">
        <v>5</v>
      </c>
      <c r="D2" s="16" t="s">
        <v>6</v>
      </c>
      <c r="E2" s="16"/>
      <c r="F2" s="16"/>
      <c r="G2" s="16"/>
      <c r="H2" s="16"/>
      <c r="I2" s="17" t="s">
        <v>98</v>
      </c>
      <c r="J2" s="17" t="s">
        <v>99</v>
      </c>
      <c r="K2" s="17" t="s">
        <v>100</v>
      </c>
      <c r="L2" s="17" t="s">
        <v>101</v>
      </c>
      <c r="M2" s="17" t="s">
        <v>102</v>
      </c>
      <c r="N2" s="17" t="s">
        <v>103</v>
      </c>
      <c r="O2" s="17" t="s">
        <v>104</v>
      </c>
      <c r="P2" s="17" t="s">
        <v>105</v>
      </c>
      <c r="Q2" s="28" t="s">
        <v>2</v>
      </c>
      <c r="R2" s="29"/>
    </row>
    <row r="3" ht="24" customHeight="1" spans="1:18">
      <c r="A3" s="16"/>
      <c r="B3" s="16"/>
      <c r="C3" s="17"/>
      <c r="D3" s="17" t="s">
        <v>22</v>
      </c>
      <c r="E3" s="16" t="s">
        <v>23</v>
      </c>
      <c r="F3" s="16" t="s">
        <v>24</v>
      </c>
      <c r="G3" s="16" t="s">
        <v>25</v>
      </c>
      <c r="H3" s="16" t="s">
        <v>2</v>
      </c>
      <c r="I3" s="17" t="s">
        <v>106</v>
      </c>
      <c r="J3" s="17" t="s">
        <v>107</v>
      </c>
      <c r="K3" s="17" t="s">
        <v>108</v>
      </c>
      <c r="L3" s="17" t="s">
        <v>109</v>
      </c>
      <c r="M3" s="17" t="s">
        <v>110</v>
      </c>
      <c r="N3" s="17" t="s">
        <v>111</v>
      </c>
      <c r="O3" s="17" t="s">
        <v>112</v>
      </c>
      <c r="P3" s="17" t="s">
        <v>113</v>
      </c>
      <c r="Q3" s="30"/>
      <c r="R3" s="29"/>
    </row>
    <row r="4" ht="24" customHeight="1" spans="1:23">
      <c r="A4" s="16" t="s">
        <v>26</v>
      </c>
      <c r="B4" s="16"/>
      <c r="C4" s="17"/>
      <c r="D4" s="17"/>
      <c r="E4" s="16"/>
      <c r="F4" s="16"/>
      <c r="G4" s="16"/>
      <c r="H4" s="16"/>
      <c r="I4" s="17"/>
      <c r="J4" s="17"/>
      <c r="K4" s="17"/>
      <c r="L4" s="17"/>
      <c r="M4" s="17"/>
      <c r="N4" s="17"/>
      <c r="O4" s="17"/>
      <c r="P4" s="17"/>
      <c r="Q4" s="31"/>
      <c r="R4" s="29"/>
      <c r="S4" s="11" t="s">
        <v>53</v>
      </c>
      <c r="T4" s="11" t="s">
        <v>54</v>
      </c>
      <c r="U4" s="11" t="s">
        <v>55</v>
      </c>
      <c r="V4" s="11" t="s">
        <v>24</v>
      </c>
      <c r="W4" s="11" t="s">
        <v>25</v>
      </c>
    </row>
    <row r="5" ht="16.5" customHeight="1" spans="1:21">
      <c r="A5" s="6">
        <v>1</v>
      </c>
      <c r="B5" s="6">
        <v>17</v>
      </c>
      <c r="C5" s="18" t="s">
        <v>27</v>
      </c>
      <c r="D5" s="19">
        <f ca="1">ROUND(D84,2)</f>
        <v>869107.89</v>
      </c>
      <c r="E5" s="19"/>
      <c r="F5" s="19"/>
      <c r="G5" s="19"/>
      <c r="H5" s="20">
        <f ca="1" t="shared" ref="H5:H14" si="0">SUM(D5:G5)</f>
        <v>869107.89</v>
      </c>
      <c r="I5" s="26">
        <f ca="1" t="shared" ref="I5:I8" si="1">$H5*10/18</f>
        <v>482837.716666667</v>
      </c>
      <c r="J5" s="26">
        <f ca="1" t="shared" ref="J5:J8" si="2">H5-I5</f>
        <v>386270.173333333</v>
      </c>
      <c r="K5" s="26"/>
      <c r="L5" s="26"/>
      <c r="M5" s="26"/>
      <c r="N5" s="26"/>
      <c r="O5" s="26"/>
      <c r="P5" s="26"/>
      <c r="Q5" s="24">
        <f ca="1" t="shared" ref="Q5:Q13" si="3">SUM(I5:P5)</f>
        <v>869107.89</v>
      </c>
      <c r="R5" s="32">
        <f ca="1" t="shared" ref="R5:R13" si="4">Q5-H5</f>
        <v>0</v>
      </c>
      <c r="S5" s="11">
        <v>1</v>
      </c>
      <c r="U5" s="11">
        <v>1</v>
      </c>
    </row>
    <row r="6" ht="16.5" customHeight="1" spans="1:20">
      <c r="A6" s="6">
        <v>1</v>
      </c>
      <c r="B6" s="6">
        <v>66</v>
      </c>
      <c r="C6" s="18" t="s">
        <v>28</v>
      </c>
      <c r="D6" s="19"/>
      <c r="E6" s="19">
        <f ca="1">ROUND(E84,2)</f>
        <v>1370437.08</v>
      </c>
      <c r="F6" s="19"/>
      <c r="G6" s="19"/>
      <c r="H6" s="20">
        <f ca="1">SUM(D6:G6)</f>
        <v>1370437.08</v>
      </c>
      <c r="I6" s="26">
        <f ca="1">$H6*10/18</f>
        <v>761353.933333333</v>
      </c>
      <c r="J6" s="26">
        <f ca="1">H6-I6</f>
        <v>609083.146666667</v>
      </c>
      <c r="K6" s="26"/>
      <c r="L6" s="26"/>
      <c r="M6" s="26"/>
      <c r="N6" s="26"/>
      <c r="O6" s="26"/>
      <c r="P6" s="26"/>
      <c r="Q6" s="24">
        <f ca="1">SUM(I6:P6)</f>
        <v>1370437.08</v>
      </c>
      <c r="R6" s="32">
        <f ca="1">Q6-H6</f>
        <v>0</v>
      </c>
      <c r="S6" s="11">
        <v>2</v>
      </c>
      <c r="T6" s="11">
        <v>1</v>
      </c>
    </row>
    <row r="7" ht="16.5" customHeight="1" spans="1:22">
      <c r="A7" s="6">
        <v>1</v>
      </c>
      <c r="B7" s="6">
        <v>62</v>
      </c>
      <c r="C7" s="18" t="s">
        <v>29</v>
      </c>
      <c r="D7" s="19"/>
      <c r="E7" s="19"/>
      <c r="F7" s="19">
        <f ca="1">ROUND(F84,2)</f>
        <v>206007.86</v>
      </c>
      <c r="G7" s="19"/>
      <c r="H7" s="20">
        <f ca="1">SUM(D7:G7)</f>
        <v>206007.86</v>
      </c>
      <c r="I7" s="26">
        <f ca="1">$H7*10/18</f>
        <v>114448.811111111</v>
      </c>
      <c r="J7" s="26">
        <f ca="1">H7-I7</f>
        <v>91559.0488888889</v>
      </c>
      <c r="K7" s="26"/>
      <c r="L7" s="26"/>
      <c r="M7" s="26"/>
      <c r="N7" s="26"/>
      <c r="O7" s="26"/>
      <c r="P7" s="26"/>
      <c r="Q7" s="24">
        <f ca="1">SUM(I7:P7)</f>
        <v>206007.86</v>
      </c>
      <c r="R7" s="32">
        <f ca="1">Q7-H7</f>
        <v>0</v>
      </c>
      <c r="S7" s="11">
        <v>3</v>
      </c>
      <c r="V7" s="11">
        <v>1</v>
      </c>
    </row>
    <row r="8" ht="16.5" customHeight="1" spans="1:23">
      <c r="A8" s="6">
        <v>1</v>
      </c>
      <c r="B8" s="6">
        <v>79</v>
      </c>
      <c r="C8" s="18" t="s">
        <v>30</v>
      </c>
      <c r="D8" s="19"/>
      <c r="E8" s="19"/>
      <c r="F8" s="19"/>
      <c r="G8" s="19">
        <f ca="1">ROUND(G84,2)</f>
        <v>3508.54</v>
      </c>
      <c r="H8" s="20">
        <f ca="1">SUM(D8:G8)</f>
        <v>3508.54</v>
      </c>
      <c r="I8" s="26">
        <f ca="1">$H8*10/18</f>
        <v>1949.18888888889</v>
      </c>
      <c r="J8" s="26">
        <f ca="1">H8-I8</f>
        <v>1559.35111111111</v>
      </c>
      <c r="K8" s="26"/>
      <c r="L8" s="26"/>
      <c r="M8" s="26"/>
      <c r="N8" s="26"/>
      <c r="O8" s="26"/>
      <c r="P8" s="26"/>
      <c r="Q8" s="24">
        <f ca="1">SUM(I8:P8)</f>
        <v>3508.54</v>
      </c>
      <c r="R8" s="32">
        <f ca="1">Q8-H8</f>
        <v>0</v>
      </c>
      <c r="S8" s="11">
        <v>4</v>
      </c>
      <c r="W8" s="11">
        <v>1</v>
      </c>
    </row>
    <row r="9" s="9" customFormat="1" ht="16.5" customHeight="1" spans="1:23">
      <c r="A9" s="21"/>
      <c r="B9" s="6"/>
      <c r="C9" s="5" t="s">
        <v>31</v>
      </c>
      <c r="D9" s="22">
        <f ca="1" t="shared" ref="D9:G9" si="5">SUM(D5:D8)</f>
        <v>869107.89</v>
      </c>
      <c r="E9" s="22">
        <f ca="1">SUM(E5:E8)</f>
        <v>1370437.08</v>
      </c>
      <c r="F9" s="22">
        <f ca="1">SUM(F5:F8)</f>
        <v>206007.86</v>
      </c>
      <c r="G9" s="22">
        <f ca="1">SUM(G5:G8)</f>
        <v>3508.54</v>
      </c>
      <c r="H9" s="23">
        <f ca="1">SUM(D9:G9)</f>
        <v>2449061.37</v>
      </c>
      <c r="I9" s="23"/>
      <c r="J9" s="23"/>
      <c r="K9" s="23"/>
      <c r="L9" s="23"/>
      <c r="M9" s="23"/>
      <c r="N9" s="23"/>
      <c r="O9" s="23"/>
      <c r="P9" s="23"/>
      <c r="Q9" s="24">
        <f ca="1">SUM(I9:P9)</f>
        <v>0</v>
      </c>
      <c r="R9" s="32">
        <f ca="1">Q9-H9</f>
        <v>-2449061.37</v>
      </c>
      <c r="S9" s="11">
        <v>5</v>
      </c>
      <c r="T9" s="10"/>
      <c r="U9" s="10"/>
      <c r="V9" s="10"/>
      <c r="W9" s="10"/>
    </row>
    <row r="10" s="9" customFormat="1" ht="16.5" customHeight="1" spans="1:23">
      <c r="A10" s="21"/>
      <c r="B10" s="6"/>
      <c r="C10" s="5" t="s">
        <v>32</v>
      </c>
      <c r="D10" s="22">
        <f ca="1" t="shared" ref="D10:G10" si="6">D9</f>
        <v>869107.89</v>
      </c>
      <c r="E10" s="22">
        <f ca="1">E9</f>
        <v>1370437.08</v>
      </c>
      <c r="F10" s="22">
        <f ca="1">F9</f>
        <v>206007.86</v>
      </c>
      <c r="G10" s="22">
        <f ca="1">G9</f>
        <v>3508.54</v>
      </c>
      <c r="H10" s="23">
        <f ca="1">SUM(D10:G10)</f>
        <v>2449061.37</v>
      </c>
      <c r="I10" s="23"/>
      <c r="J10" s="26"/>
      <c r="K10" s="23"/>
      <c r="L10" s="23"/>
      <c r="M10" s="23"/>
      <c r="N10" s="23"/>
      <c r="O10" s="23"/>
      <c r="P10" s="23"/>
      <c r="Q10" s="24">
        <f ca="1">SUM(I10:P10)</f>
        <v>0</v>
      </c>
      <c r="R10" s="32">
        <f ca="1">Q10-H10</f>
        <v>-2449061.37</v>
      </c>
      <c r="S10" s="11">
        <v>6</v>
      </c>
      <c r="T10" s="10"/>
      <c r="U10" s="10"/>
      <c r="V10" s="10"/>
      <c r="W10" s="10"/>
    </row>
    <row r="11" ht="16.5" customHeight="1" spans="1:21">
      <c r="A11" s="6">
        <v>2</v>
      </c>
      <c r="B11" s="6">
        <v>14</v>
      </c>
      <c r="C11" s="18" t="s">
        <v>27</v>
      </c>
      <c r="D11" s="19">
        <f ca="1">ROUND(D85,2)</f>
        <v>882320.88</v>
      </c>
      <c r="E11" s="19"/>
      <c r="F11" s="19"/>
      <c r="G11" s="19"/>
      <c r="H11" s="20">
        <f ca="1">SUM(D11:G11)</f>
        <v>882320.88</v>
      </c>
      <c r="I11" s="26">
        <f ca="1" t="shared" ref="I11:I13" si="7">$H11*12/21</f>
        <v>504183.36</v>
      </c>
      <c r="J11" s="26">
        <f ca="1" t="shared" ref="J11:J13" si="8">H11-I11</f>
        <v>378137.52</v>
      </c>
      <c r="K11" s="26"/>
      <c r="L11" s="26"/>
      <c r="M11" s="26"/>
      <c r="N11" s="26"/>
      <c r="O11" s="26"/>
      <c r="P11" s="26"/>
      <c r="Q11" s="24">
        <f ca="1">SUM(I11:P11)</f>
        <v>882320.88</v>
      </c>
      <c r="R11" s="32">
        <f ca="1">Q11-H11</f>
        <v>0</v>
      </c>
      <c r="S11" s="11">
        <v>7</v>
      </c>
      <c r="U11" s="11">
        <v>2</v>
      </c>
    </row>
    <row r="12" ht="16.5" customHeight="1" spans="1:20">
      <c r="A12" s="6">
        <v>2</v>
      </c>
      <c r="B12" s="6">
        <v>33</v>
      </c>
      <c r="C12" s="18" t="s">
        <v>28</v>
      </c>
      <c r="D12" s="19"/>
      <c r="E12" s="19">
        <f ca="1">ROUND(E85,2)</f>
        <v>1380136.6</v>
      </c>
      <c r="F12" s="19"/>
      <c r="G12" s="19"/>
      <c r="H12" s="20">
        <f ca="1">SUM(D12:G12)</f>
        <v>1380136.6</v>
      </c>
      <c r="I12" s="26">
        <f ca="1">$H12*12/21</f>
        <v>788649.485714286</v>
      </c>
      <c r="J12" s="26">
        <f ca="1">H12-I12</f>
        <v>591487.114285714</v>
      </c>
      <c r="K12" s="26"/>
      <c r="L12" s="26"/>
      <c r="M12" s="26"/>
      <c r="N12" s="26"/>
      <c r="O12" s="26"/>
      <c r="P12" s="26"/>
      <c r="Q12" s="24">
        <f ca="1">SUM(I12:P12)</f>
        <v>1380136.6</v>
      </c>
      <c r="R12" s="32">
        <f ca="1">Q12-H12</f>
        <v>0</v>
      </c>
      <c r="S12" s="11">
        <v>8</v>
      </c>
      <c r="T12" s="11">
        <v>2</v>
      </c>
    </row>
    <row r="13" ht="16.5" customHeight="1" spans="1:22">
      <c r="A13" s="6">
        <v>2</v>
      </c>
      <c r="B13" s="6">
        <v>34</v>
      </c>
      <c r="C13" s="18" t="s">
        <v>29</v>
      </c>
      <c r="D13" s="19"/>
      <c r="E13" s="19"/>
      <c r="F13" s="19">
        <f ca="1">ROUND(F85,2)</f>
        <v>202736.1</v>
      </c>
      <c r="G13" s="19"/>
      <c r="H13" s="20">
        <f ca="1">SUM(D13:G13)</f>
        <v>202736.1</v>
      </c>
      <c r="I13" s="26">
        <f ca="1">$H13*12/21</f>
        <v>115849.2</v>
      </c>
      <c r="J13" s="26">
        <f ca="1">H13-I13</f>
        <v>86886.9</v>
      </c>
      <c r="K13" s="26"/>
      <c r="L13" s="26"/>
      <c r="M13" s="26"/>
      <c r="N13" s="26"/>
      <c r="O13" s="26"/>
      <c r="P13" s="26"/>
      <c r="Q13" s="24">
        <f ca="1">SUM(I13:P13)</f>
        <v>202736.1</v>
      </c>
      <c r="R13" s="32">
        <f ca="1">Q13-H13</f>
        <v>0</v>
      </c>
      <c r="S13" s="11">
        <v>9</v>
      </c>
      <c r="V13" s="11">
        <v>2</v>
      </c>
    </row>
    <row r="14" ht="16.5" customHeight="1" spans="1:18">
      <c r="A14" s="6">
        <v>2</v>
      </c>
      <c r="B14" s="6">
        <v>44</v>
      </c>
      <c r="C14" s="18" t="s">
        <v>30</v>
      </c>
      <c r="D14" s="19"/>
      <c r="E14" s="19"/>
      <c r="F14" s="19"/>
      <c r="G14" s="19">
        <f ca="1">ROUND(G85,2)</f>
        <v>3510.18</v>
      </c>
      <c r="H14" s="20">
        <f ca="1">SUM(D14:G14)</f>
        <v>3510.18</v>
      </c>
      <c r="I14" s="26"/>
      <c r="J14" s="26"/>
      <c r="K14" s="26"/>
      <c r="L14" s="26"/>
      <c r="M14" s="26"/>
      <c r="N14" s="26"/>
      <c r="O14" s="26"/>
      <c r="P14" s="26"/>
      <c r="Q14" s="24"/>
      <c r="R14" s="32"/>
    </row>
    <row r="15" s="9" customFormat="1" ht="16.5" customHeight="1" spans="1:23">
      <c r="A15" s="21"/>
      <c r="B15" s="6"/>
      <c r="C15" s="5" t="s">
        <v>31</v>
      </c>
      <c r="D15" s="22">
        <f ca="1" t="shared" ref="D15:H15" si="9">SUM(D11:D14)</f>
        <v>882320.88</v>
      </c>
      <c r="E15" s="22">
        <f ca="1">SUM(E11:E14)</f>
        <v>1380136.6</v>
      </c>
      <c r="F15" s="22">
        <f ca="1">SUM(F11:F14)</f>
        <v>202736.1</v>
      </c>
      <c r="G15" s="22">
        <f ca="1">SUM(G11:G14)</f>
        <v>3510.18</v>
      </c>
      <c r="H15" s="22">
        <f ca="1">SUM(H11:H14)</f>
        <v>2468703.76</v>
      </c>
      <c r="I15" s="26"/>
      <c r="J15" s="26"/>
      <c r="K15" s="26"/>
      <c r="L15" s="26"/>
      <c r="M15" s="26"/>
      <c r="N15" s="26"/>
      <c r="O15" s="26"/>
      <c r="P15" s="26"/>
      <c r="Q15" s="24">
        <f t="shared" ref="Q15:Q25" si="10">SUM(I15:P15)</f>
        <v>0</v>
      </c>
      <c r="R15" s="32">
        <f ca="1" t="shared" ref="R15:R25" si="11">Q15-H15</f>
        <v>-2468703.76</v>
      </c>
      <c r="S15" s="11">
        <v>10</v>
      </c>
      <c r="T15" s="10"/>
      <c r="U15" s="10"/>
      <c r="V15" s="10"/>
      <c r="W15" s="10"/>
    </row>
    <row r="16" s="9" customFormat="1" ht="16.5" customHeight="1" spans="1:23">
      <c r="A16" s="21"/>
      <c r="B16" s="6"/>
      <c r="C16" s="5" t="s">
        <v>32</v>
      </c>
      <c r="D16" s="22">
        <f ca="1" t="shared" ref="D16:H16" si="12">D10+D15</f>
        <v>1751428.77</v>
      </c>
      <c r="E16" s="22">
        <f ca="1">E10+E15</f>
        <v>2750573.68</v>
      </c>
      <c r="F16" s="22">
        <f ca="1">F10+F15</f>
        <v>408743.96</v>
      </c>
      <c r="G16" s="22">
        <f ca="1">G10+G15</f>
        <v>7018.72</v>
      </c>
      <c r="H16" s="23">
        <f ca="1">H10+H15</f>
        <v>4917765.13</v>
      </c>
      <c r="I16" s="26"/>
      <c r="J16" s="26"/>
      <c r="K16" s="26"/>
      <c r="L16" s="26"/>
      <c r="M16" s="26"/>
      <c r="N16" s="26"/>
      <c r="O16" s="26"/>
      <c r="P16" s="26"/>
      <c r="Q16" s="24">
        <f>SUM(I16:P16)</f>
        <v>0</v>
      </c>
      <c r="R16" s="32">
        <f ca="1">Q16-H16</f>
        <v>-4917765.13</v>
      </c>
      <c r="S16" s="11">
        <v>11</v>
      </c>
      <c r="T16" s="10"/>
      <c r="U16" s="10"/>
      <c r="V16" s="10"/>
      <c r="W16" s="10"/>
    </row>
    <row r="17" ht="16.5" customHeight="1" spans="1:21">
      <c r="A17" s="6">
        <v>3</v>
      </c>
      <c r="B17" s="6">
        <v>13</v>
      </c>
      <c r="C17" s="18" t="s">
        <v>27</v>
      </c>
      <c r="D17" s="19">
        <f ca="1">ROUND(D86,2)</f>
        <v>884226.45</v>
      </c>
      <c r="E17" s="19"/>
      <c r="F17" s="19"/>
      <c r="G17" s="19"/>
      <c r="H17" s="20">
        <f ca="1" t="shared" ref="H17:H20" si="13">SUM(D17:G17)</f>
        <v>884226.45</v>
      </c>
      <c r="I17" s="26">
        <f ca="1" t="shared" ref="I17:I20" si="14">$H17*6/22</f>
        <v>241152.668181818</v>
      </c>
      <c r="J17" s="26">
        <f ca="1" t="shared" ref="J17:J20" si="15">$H17*8/22</f>
        <v>321536.890909091</v>
      </c>
      <c r="K17" s="26">
        <f ca="1" t="shared" ref="K17:K20" si="16">$H17*5/22</f>
        <v>200960.556818182</v>
      </c>
      <c r="L17" s="26">
        <f ca="1" t="shared" ref="L17:L20" si="17">H17-I17-J17-K17</f>
        <v>120576.334090909</v>
      </c>
      <c r="M17" s="26"/>
      <c r="N17" s="26"/>
      <c r="O17" s="26"/>
      <c r="P17" s="26"/>
      <c r="Q17" s="24">
        <f ca="1">SUM(I17:P17)</f>
        <v>884226.45</v>
      </c>
      <c r="R17" s="32">
        <f ca="1">Q17-H17</f>
        <v>0</v>
      </c>
      <c r="S17" s="11">
        <v>12</v>
      </c>
      <c r="U17" s="11">
        <v>3</v>
      </c>
    </row>
    <row r="18" ht="16.5" customHeight="1" spans="1:20">
      <c r="A18" s="6">
        <v>3</v>
      </c>
      <c r="B18" s="6">
        <v>47</v>
      </c>
      <c r="C18" s="18" t="s">
        <v>28</v>
      </c>
      <c r="D18" s="19"/>
      <c r="E18" s="19">
        <f ca="1">ROUND(E86,2)</f>
        <v>1366139.41</v>
      </c>
      <c r="F18" s="19"/>
      <c r="G18" s="19"/>
      <c r="H18" s="20">
        <f ca="1">SUM(D18:G18)</f>
        <v>1366139.41</v>
      </c>
      <c r="I18" s="26">
        <f ca="1">$H18*6/22</f>
        <v>372583.475454545</v>
      </c>
      <c r="J18" s="26">
        <f ca="1">$H18*8/22</f>
        <v>496777.967272727</v>
      </c>
      <c r="K18" s="26">
        <f ca="1">$H18*5/22</f>
        <v>310486.229545455</v>
      </c>
      <c r="L18" s="26">
        <f ca="1">H18-I18-J18-K18</f>
        <v>186291.737727273</v>
      </c>
      <c r="M18" s="26"/>
      <c r="N18" s="26"/>
      <c r="O18" s="26"/>
      <c r="P18" s="26"/>
      <c r="Q18" s="24">
        <f ca="1">SUM(I18:P18)</f>
        <v>1366139.41</v>
      </c>
      <c r="R18" s="32">
        <f ca="1">Q18-H18</f>
        <v>0</v>
      </c>
      <c r="S18" s="11">
        <v>13</v>
      </c>
      <c r="T18" s="11">
        <v>3</v>
      </c>
    </row>
    <row r="19" ht="16.5" customHeight="1" spans="1:22">
      <c r="A19" s="6">
        <v>3</v>
      </c>
      <c r="B19" s="6">
        <v>14</v>
      </c>
      <c r="C19" s="18" t="s">
        <v>29</v>
      </c>
      <c r="D19" s="19"/>
      <c r="E19" s="19"/>
      <c r="F19" s="19">
        <f ca="1">ROUND(F86,2)</f>
        <v>199985.92</v>
      </c>
      <c r="G19" s="19"/>
      <c r="H19" s="20">
        <f ca="1">SUM(D19:G19)</f>
        <v>199985.92</v>
      </c>
      <c r="I19" s="26">
        <f ca="1">$H19*6/22</f>
        <v>54541.6145454545</v>
      </c>
      <c r="J19" s="26">
        <f ca="1">$H19*8/22</f>
        <v>72722.1527272727</v>
      </c>
      <c r="K19" s="26">
        <f ca="1">$H19*5/22</f>
        <v>45451.3454545455</v>
      </c>
      <c r="L19" s="26">
        <f ca="1">H19-I19-J19-K19</f>
        <v>27270.8072727273</v>
      </c>
      <c r="M19" s="26"/>
      <c r="N19" s="26"/>
      <c r="O19" s="26"/>
      <c r="P19" s="26"/>
      <c r="Q19" s="24">
        <f ca="1">SUM(I19:P19)</f>
        <v>199985.92</v>
      </c>
      <c r="R19" s="32">
        <f ca="1">Q19-H19</f>
        <v>0</v>
      </c>
      <c r="S19" s="11">
        <v>14</v>
      </c>
      <c r="V19" s="11">
        <v>3</v>
      </c>
    </row>
    <row r="20" ht="16.5" customHeight="1" spans="1:23">
      <c r="A20" s="6">
        <v>3</v>
      </c>
      <c r="B20" s="6">
        <v>15</v>
      </c>
      <c r="C20" s="18" t="s">
        <v>30</v>
      </c>
      <c r="D20" s="19"/>
      <c r="E20" s="19"/>
      <c r="F20" s="19"/>
      <c r="G20" s="19">
        <f ca="1">ROUND(G86,2)</f>
        <v>3388.71</v>
      </c>
      <c r="H20" s="20">
        <f ca="1">SUM(D20:G20)</f>
        <v>3388.71</v>
      </c>
      <c r="I20" s="26">
        <f ca="1">$H20*6/22</f>
        <v>924.193636363636</v>
      </c>
      <c r="J20" s="26">
        <f ca="1">$H20*8/22</f>
        <v>1232.25818181818</v>
      </c>
      <c r="K20" s="26">
        <f ca="1">$H20*5/22</f>
        <v>770.161363636364</v>
      </c>
      <c r="L20" s="26">
        <f ca="1">H20-I20-J20-K20</f>
        <v>462.096818181818</v>
      </c>
      <c r="M20" s="26"/>
      <c r="N20" s="26"/>
      <c r="O20" s="26"/>
      <c r="P20" s="26"/>
      <c r="Q20" s="24">
        <f ca="1">SUM(I20:P20)</f>
        <v>3388.71</v>
      </c>
      <c r="R20" s="32">
        <f ca="1">Q20-H20</f>
        <v>0</v>
      </c>
      <c r="S20" s="11">
        <v>15</v>
      </c>
      <c r="W20" s="11">
        <v>2</v>
      </c>
    </row>
    <row r="21" s="9" customFormat="1" ht="16.5" customHeight="1" spans="1:23">
      <c r="A21" s="21"/>
      <c r="B21" s="6"/>
      <c r="C21" s="5" t="s">
        <v>31</v>
      </c>
      <c r="D21" s="22">
        <f ca="1" t="shared" ref="D21:H21" si="18">SUM(D17:D20)</f>
        <v>884226.45</v>
      </c>
      <c r="E21" s="22">
        <f ca="1">SUM(E17:E20)</f>
        <v>1366139.41</v>
      </c>
      <c r="F21" s="22">
        <f ca="1">SUM(F17:F20)</f>
        <v>199985.92</v>
      </c>
      <c r="G21" s="22">
        <f ca="1">SUM(G17:G20)</f>
        <v>3388.71</v>
      </c>
      <c r="H21" s="23">
        <f ca="1">SUM(H17:H20)</f>
        <v>2453740.49</v>
      </c>
      <c r="I21" s="26"/>
      <c r="J21" s="26"/>
      <c r="K21" s="26"/>
      <c r="L21" s="26"/>
      <c r="M21" s="26"/>
      <c r="N21" s="26"/>
      <c r="O21" s="26"/>
      <c r="P21" s="26"/>
      <c r="Q21" s="24">
        <f>SUM(I21:P21)</f>
        <v>0</v>
      </c>
      <c r="R21" s="32">
        <f ca="1">Q21-H21</f>
        <v>-2453740.49</v>
      </c>
      <c r="S21" s="11">
        <v>16</v>
      </c>
      <c r="T21" s="10"/>
      <c r="U21" s="10"/>
      <c r="V21" s="10"/>
      <c r="W21" s="10"/>
    </row>
    <row r="22" s="9" customFormat="1" ht="16.5" customHeight="1" spans="1:23">
      <c r="A22" s="21"/>
      <c r="B22" s="6"/>
      <c r="C22" s="5" t="s">
        <v>32</v>
      </c>
      <c r="D22" s="22">
        <f ca="1" t="shared" ref="D22:H22" si="19">D21+D16</f>
        <v>2635655.22</v>
      </c>
      <c r="E22" s="22">
        <f ca="1">E21+E16</f>
        <v>4116713.09</v>
      </c>
      <c r="F22" s="22">
        <f ca="1">F21+F16</f>
        <v>608729.88</v>
      </c>
      <c r="G22" s="22">
        <f ca="1">G21+G16</f>
        <v>10407.43</v>
      </c>
      <c r="H22" s="23">
        <f ca="1">H21+H16</f>
        <v>7371505.62</v>
      </c>
      <c r="I22" s="26"/>
      <c r="J22" s="26"/>
      <c r="K22" s="26"/>
      <c r="L22" s="26"/>
      <c r="M22" s="26"/>
      <c r="N22" s="26"/>
      <c r="O22" s="26"/>
      <c r="P22" s="26"/>
      <c r="Q22" s="24">
        <f>SUM(I22:P22)</f>
        <v>0</v>
      </c>
      <c r="R22" s="32">
        <f ca="1">Q22-H22</f>
        <v>-7371505.62</v>
      </c>
      <c r="S22" s="11">
        <v>17</v>
      </c>
      <c r="T22" s="10"/>
      <c r="U22" s="10"/>
      <c r="V22" s="10"/>
      <c r="W22" s="10"/>
    </row>
    <row r="23" ht="16.5" customHeight="1" spans="1:21">
      <c r="A23" s="6">
        <v>4</v>
      </c>
      <c r="B23" s="6">
        <v>10</v>
      </c>
      <c r="C23" s="18" t="s">
        <v>27</v>
      </c>
      <c r="D23" s="19">
        <f ca="1">ROUND(D87,2)</f>
        <v>884011.79</v>
      </c>
      <c r="E23" s="19"/>
      <c r="F23" s="19"/>
      <c r="G23" s="19"/>
      <c r="H23" s="20">
        <f ca="1" t="shared" ref="H23:H26" si="20">SUM(D23:G23)</f>
        <v>884011.79</v>
      </c>
      <c r="I23" s="26">
        <f ca="1" t="shared" ref="I23:I25" si="21">$H23*5/22</f>
        <v>200911.770454545</v>
      </c>
      <c r="J23" s="26">
        <f ca="1" t="shared" ref="J23:J25" si="22">$H23*6/22</f>
        <v>241094.124545455</v>
      </c>
      <c r="K23" s="26">
        <f ca="1" t="shared" ref="K23:K25" si="23">$H23*4/22</f>
        <v>160729.416363636</v>
      </c>
      <c r="L23" s="26">
        <f ca="1" t="shared" ref="L23:L25" si="24">H23-I23-J23-K23</f>
        <v>281276.478636364</v>
      </c>
      <c r="M23" s="26"/>
      <c r="N23" s="26"/>
      <c r="O23" s="26"/>
      <c r="P23" s="26"/>
      <c r="Q23" s="24">
        <f ca="1">SUM(I23:P23)</f>
        <v>884011.79</v>
      </c>
      <c r="R23" s="32">
        <f ca="1">Q23-H23</f>
        <v>0</v>
      </c>
      <c r="S23" s="11">
        <v>18</v>
      </c>
      <c r="U23" s="11">
        <v>4</v>
      </c>
    </row>
    <row r="24" ht="16.5" customHeight="1" spans="1:20">
      <c r="A24" s="6">
        <v>4</v>
      </c>
      <c r="B24" s="6">
        <v>58</v>
      </c>
      <c r="C24" s="18" t="s">
        <v>28</v>
      </c>
      <c r="D24" s="19"/>
      <c r="E24" s="19">
        <f ca="1">ROUND(E87,2)</f>
        <v>1370689.02</v>
      </c>
      <c r="F24" s="19"/>
      <c r="G24" s="19"/>
      <c r="H24" s="20">
        <f ca="1">SUM(D24:G24)</f>
        <v>1370689.02</v>
      </c>
      <c r="I24" s="26">
        <f ca="1">$H24*5/22</f>
        <v>311520.231818182</v>
      </c>
      <c r="J24" s="26">
        <f ca="1">$H24*6/22</f>
        <v>373824.278181818</v>
      </c>
      <c r="K24" s="26">
        <f ca="1">$H24*4/22</f>
        <v>249216.185454545</v>
      </c>
      <c r="L24" s="26">
        <f ca="1">H24-I24-J24-K24</f>
        <v>436128.324545454</v>
      </c>
      <c r="M24" s="26"/>
      <c r="N24" s="26"/>
      <c r="O24" s="26"/>
      <c r="P24" s="26"/>
      <c r="Q24" s="24">
        <f ca="1">SUM(I24:P24)</f>
        <v>1370689.02</v>
      </c>
      <c r="R24" s="32">
        <f ca="1">Q24-H24</f>
        <v>0</v>
      </c>
      <c r="S24" s="11">
        <v>19</v>
      </c>
      <c r="T24" s="11">
        <v>4</v>
      </c>
    </row>
    <row r="25" ht="16.5" customHeight="1" spans="1:22">
      <c r="A25" s="6">
        <v>4</v>
      </c>
      <c r="B25" s="6">
        <v>54</v>
      </c>
      <c r="C25" s="18" t="s">
        <v>29</v>
      </c>
      <c r="D25" s="19"/>
      <c r="E25" s="19"/>
      <c r="F25" s="19">
        <f ca="1">ROUND(F87,2)</f>
        <v>208289.78</v>
      </c>
      <c r="G25" s="19"/>
      <c r="H25" s="20">
        <f ca="1">SUM(D25:G25)</f>
        <v>208289.78</v>
      </c>
      <c r="I25" s="26">
        <f ca="1">$H25*5/22</f>
        <v>47338.5863636364</v>
      </c>
      <c r="J25" s="26">
        <f ca="1">$H25*6/22</f>
        <v>56806.3036363636</v>
      </c>
      <c r="K25" s="26">
        <f ca="1">$H25*4/22</f>
        <v>37870.8690909091</v>
      </c>
      <c r="L25" s="26">
        <f ca="1">H25-I25-J25-K25</f>
        <v>66274.0209090909</v>
      </c>
      <c r="M25" s="26"/>
      <c r="N25" s="26"/>
      <c r="O25" s="26"/>
      <c r="P25" s="26"/>
      <c r="Q25" s="24">
        <f ca="1">SUM(I25:P25)</f>
        <v>208289.78</v>
      </c>
      <c r="R25" s="32">
        <f ca="1">Q25-H25</f>
        <v>0</v>
      </c>
      <c r="S25" s="11">
        <v>20</v>
      </c>
      <c r="V25" s="11">
        <v>4</v>
      </c>
    </row>
    <row r="26" ht="16.5" customHeight="1" spans="1:18">
      <c r="A26" s="6"/>
      <c r="B26" s="6"/>
      <c r="C26" s="18" t="s">
        <v>30</v>
      </c>
      <c r="D26" s="19"/>
      <c r="E26" s="19"/>
      <c r="F26" s="19"/>
      <c r="G26" s="19">
        <f ca="1">ROUND(G87,2)</f>
        <v>3553.86</v>
      </c>
      <c r="H26" s="20">
        <f ca="1">SUM(D26:G26)</f>
        <v>3553.86</v>
      </c>
      <c r="I26" s="26"/>
      <c r="J26" s="26"/>
      <c r="K26" s="26"/>
      <c r="L26" s="26"/>
      <c r="M26" s="26"/>
      <c r="N26" s="26"/>
      <c r="O26" s="26"/>
      <c r="P26" s="26"/>
      <c r="Q26" s="24"/>
      <c r="R26" s="32"/>
    </row>
    <row r="27" s="10" customFormat="1" ht="16.5" customHeight="1" spans="1:19">
      <c r="A27" s="21"/>
      <c r="B27" s="6"/>
      <c r="C27" s="5" t="s">
        <v>31</v>
      </c>
      <c r="D27" s="22">
        <f ca="1" t="shared" ref="D27:H27" si="25">SUM(D23:D26)</f>
        <v>884011.79</v>
      </c>
      <c r="E27" s="22">
        <f ca="1">SUM(E23:E26)</f>
        <v>1370689.02</v>
      </c>
      <c r="F27" s="22">
        <f ca="1">SUM(F23:F26)</f>
        <v>208289.78</v>
      </c>
      <c r="G27" s="22">
        <f ca="1">SUM(G23:G26)</f>
        <v>3553.86</v>
      </c>
      <c r="H27" s="22">
        <f ca="1">SUM(H23:H26)</f>
        <v>2466544.45</v>
      </c>
      <c r="I27" s="26"/>
      <c r="J27" s="26"/>
      <c r="K27" s="26"/>
      <c r="L27" s="26"/>
      <c r="M27" s="26"/>
      <c r="N27" s="26"/>
      <c r="O27" s="26"/>
      <c r="P27" s="26"/>
      <c r="Q27" s="24">
        <f t="shared" ref="Q27:Q31" si="26">SUM(I27:P27)</f>
        <v>0</v>
      </c>
      <c r="R27" s="32">
        <f ca="1" t="shared" ref="R27:R31" si="27">Q27-H27</f>
        <v>-2466544.45</v>
      </c>
      <c r="S27" s="11">
        <v>21</v>
      </c>
    </row>
    <row r="28" s="10" customFormat="1" ht="16.5" customHeight="1" spans="1:19">
      <c r="A28" s="21"/>
      <c r="B28" s="6"/>
      <c r="C28" s="5" t="s">
        <v>32</v>
      </c>
      <c r="D28" s="22">
        <f ca="1" t="shared" ref="D28:H28" si="28">D27+D22</f>
        <v>3519667.01</v>
      </c>
      <c r="E28" s="22">
        <f ca="1">E27+E22</f>
        <v>5487402.11</v>
      </c>
      <c r="F28" s="22">
        <f ca="1">F27+F22</f>
        <v>817019.66</v>
      </c>
      <c r="G28" s="22">
        <f ca="1">G27+G22</f>
        <v>13961.29</v>
      </c>
      <c r="H28" s="23">
        <f ca="1">H27+H22</f>
        <v>9838050.07</v>
      </c>
      <c r="I28" s="26"/>
      <c r="J28" s="26"/>
      <c r="K28" s="26"/>
      <c r="L28" s="26"/>
      <c r="M28" s="26"/>
      <c r="N28" s="26"/>
      <c r="O28" s="26"/>
      <c r="P28" s="26"/>
      <c r="Q28" s="24">
        <f>SUM(I28:P28)</f>
        <v>0</v>
      </c>
      <c r="R28" s="32">
        <f ca="1">Q28-H28</f>
        <v>-9838050.07</v>
      </c>
      <c r="S28" s="11">
        <v>22</v>
      </c>
    </row>
    <row r="29" ht="16.5" customHeight="1" spans="1:21">
      <c r="A29" s="6">
        <v>5</v>
      </c>
      <c r="B29" s="6">
        <v>14</v>
      </c>
      <c r="C29" s="18" t="s">
        <v>27</v>
      </c>
      <c r="D29" s="19">
        <f ca="1">ROUND(D88,2)</f>
        <v>872567.33</v>
      </c>
      <c r="E29" s="19"/>
      <c r="F29" s="19"/>
      <c r="G29" s="19"/>
      <c r="H29" s="20">
        <f ca="1" t="shared" ref="H29:H32" si="29">SUM(D29:G29)</f>
        <v>872567.33</v>
      </c>
      <c r="I29" s="26">
        <f ca="1" t="shared" ref="I29:I31" si="30">$H29*3/19</f>
        <v>137773.788947368</v>
      </c>
      <c r="J29" s="26">
        <f ca="1" t="shared" ref="J29:J31" si="31">$H29*2/19</f>
        <v>91849.1926315789</v>
      </c>
      <c r="K29" s="26">
        <f ca="1" t="shared" ref="K29:K31" si="32">$H29*5/19</f>
        <v>229622.981578947</v>
      </c>
      <c r="L29" s="26">
        <f ca="1" t="shared" ref="L29:L31" si="33">$H29*4/19</f>
        <v>183698.385263158</v>
      </c>
      <c r="M29" s="26">
        <f ca="1" t="shared" ref="M29:M31" si="34">$H29*3.5/19</f>
        <v>160736.087105263</v>
      </c>
      <c r="N29" s="26">
        <f ca="1" t="shared" ref="N29:N31" si="35">H29-I29-J29-K29-L29-M29</f>
        <v>68886.8944736842</v>
      </c>
      <c r="O29" s="26"/>
      <c r="P29" s="26"/>
      <c r="Q29" s="24">
        <f ca="1">SUM(I29:P29)</f>
        <v>872567.33</v>
      </c>
      <c r="R29" s="32">
        <f ca="1">Q29-H29</f>
        <v>0</v>
      </c>
      <c r="S29" s="11">
        <v>23</v>
      </c>
      <c r="U29" s="11">
        <v>5</v>
      </c>
    </row>
    <row r="30" ht="16.5" customHeight="1" spans="1:20">
      <c r="A30" s="6">
        <v>5</v>
      </c>
      <c r="B30" s="6">
        <v>54</v>
      </c>
      <c r="C30" s="18" t="s">
        <v>28</v>
      </c>
      <c r="D30" s="19"/>
      <c r="E30" s="19">
        <f ca="1">ROUND(E88,2)</f>
        <v>1442911.82</v>
      </c>
      <c r="F30" s="19"/>
      <c r="G30" s="19"/>
      <c r="H30" s="20">
        <f ca="1">SUM(D30:G30)</f>
        <v>1442911.82</v>
      </c>
      <c r="I30" s="26">
        <f ca="1">$H30*3/19</f>
        <v>227828.182105263</v>
      </c>
      <c r="J30" s="26">
        <f ca="1">$H30*2/19</f>
        <v>151885.454736842</v>
      </c>
      <c r="K30" s="26">
        <f ca="1">$H30*5/19</f>
        <v>379713.636842105</v>
      </c>
      <c r="L30" s="26">
        <f ca="1">$H30*4/19</f>
        <v>303770.909473684</v>
      </c>
      <c r="M30" s="26">
        <f ca="1">$H30*3.5/19</f>
        <v>265799.545789474</v>
      </c>
      <c r="N30" s="26">
        <f ca="1">H30-I30-J30-K30-L30-M30</f>
        <v>113914.091052632</v>
      </c>
      <c r="O30" s="26"/>
      <c r="P30" s="26"/>
      <c r="Q30" s="24">
        <f ca="1">SUM(I30:P30)</f>
        <v>1442911.82</v>
      </c>
      <c r="R30" s="32">
        <f ca="1">Q30-H30</f>
        <v>0</v>
      </c>
      <c r="S30" s="11">
        <v>24</v>
      </c>
      <c r="T30" s="11">
        <v>5</v>
      </c>
    </row>
    <row r="31" ht="16.5" customHeight="1" spans="1:22">
      <c r="A31" s="6">
        <v>5</v>
      </c>
      <c r="B31" s="6">
        <v>20</v>
      </c>
      <c r="C31" s="18" t="s">
        <v>29</v>
      </c>
      <c r="D31" s="19"/>
      <c r="E31" s="19"/>
      <c r="F31" s="19">
        <f ca="1">ROUND(F88,2)</f>
        <v>200722.24</v>
      </c>
      <c r="G31" s="19"/>
      <c r="H31" s="20">
        <f ca="1">SUM(D31:G31)</f>
        <v>200722.24</v>
      </c>
      <c r="I31" s="26">
        <f ca="1">$H31*3/19</f>
        <v>31692.9852631579</v>
      </c>
      <c r="J31" s="26">
        <f ca="1">$H31*2/19</f>
        <v>21128.6568421053</v>
      </c>
      <c r="K31" s="26">
        <f ca="1">$H31*5/19</f>
        <v>52821.6421052632</v>
      </c>
      <c r="L31" s="26">
        <f ca="1">$H31*4/19</f>
        <v>42257.3136842105</v>
      </c>
      <c r="M31" s="26">
        <f ca="1">$H31*3.5/19</f>
        <v>36975.1494736842</v>
      </c>
      <c r="N31" s="26">
        <f ca="1">H31-I31-J31-K31-L31-M31</f>
        <v>15846.4926315789</v>
      </c>
      <c r="O31" s="26"/>
      <c r="P31" s="26"/>
      <c r="Q31" s="24">
        <f ca="1">SUM(I31:P31)</f>
        <v>200722.24</v>
      </c>
      <c r="R31" s="32">
        <f ca="1">Q31-H31</f>
        <v>0</v>
      </c>
      <c r="S31" s="11">
        <v>25</v>
      </c>
      <c r="V31" s="11">
        <v>5</v>
      </c>
    </row>
    <row r="32" ht="16.5" customHeight="1" spans="1:18">
      <c r="A32" s="6"/>
      <c r="B32" s="6"/>
      <c r="C32" s="18" t="s">
        <v>30</v>
      </c>
      <c r="D32" s="19"/>
      <c r="E32" s="19"/>
      <c r="F32" s="19"/>
      <c r="G32" s="19">
        <f ca="1">ROUND(G88,2)</f>
        <v>3478.5</v>
      </c>
      <c r="H32" s="20">
        <f ca="1">SUM(D32:G32)</f>
        <v>3478.5</v>
      </c>
      <c r="I32" s="26"/>
      <c r="J32" s="26"/>
      <c r="K32" s="26"/>
      <c r="L32" s="26"/>
      <c r="M32" s="26"/>
      <c r="N32" s="26"/>
      <c r="O32" s="26"/>
      <c r="P32" s="26"/>
      <c r="Q32" s="24"/>
      <c r="R32" s="32"/>
    </row>
    <row r="33" s="9" customFormat="1" ht="16.5" customHeight="1" spans="1:23">
      <c r="A33" s="21"/>
      <c r="B33" s="6"/>
      <c r="C33" s="5" t="s">
        <v>31</v>
      </c>
      <c r="D33" s="22">
        <f ca="1" t="shared" ref="D33:H33" si="36">SUM(D29:D32)</f>
        <v>872567.33</v>
      </c>
      <c r="E33" s="22">
        <f ca="1">SUM(E29:E32)</f>
        <v>1442911.82</v>
      </c>
      <c r="F33" s="22">
        <f ca="1">SUM(F29:F32)</f>
        <v>200722.24</v>
      </c>
      <c r="G33" s="22">
        <f ca="1">SUM(G29:G32)</f>
        <v>3478.5</v>
      </c>
      <c r="H33" s="22">
        <f ca="1">SUM(H29:H32)</f>
        <v>2519679.89</v>
      </c>
      <c r="I33" s="26"/>
      <c r="J33" s="26"/>
      <c r="K33" s="26"/>
      <c r="L33" s="26"/>
      <c r="M33" s="26"/>
      <c r="N33" s="26"/>
      <c r="O33" s="26"/>
      <c r="P33" s="26"/>
      <c r="Q33" s="24">
        <f t="shared" ref="Q33:Q37" si="37">SUM(I33:P33)</f>
        <v>0</v>
      </c>
      <c r="R33" s="32">
        <f ca="1" t="shared" ref="R33:R37" si="38">Q33-H33</f>
        <v>-2519679.89</v>
      </c>
      <c r="S33" s="11">
        <v>26</v>
      </c>
      <c r="T33" s="10"/>
      <c r="U33" s="10"/>
      <c r="V33" s="10"/>
      <c r="W33" s="10"/>
    </row>
    <row r="34" s="9" customFormat="1" ht="16.5" customHeight="1" spans="1:23">
      <c r="A34" s="21"/>
      <c r="B34" s="6"/>
      <c r="C34" s="5" t="s">
        <v>32</v>
      </c>
      <c r="D34" s="22">
        <f ca="1" t="shared" ref="D34:H34" si="39">D33+D28</f>
        <v>4392234.34</v>
      </c>
      <c r="E34" s="22">
        <f ca="1">E33+E28</f>
        <v>6930313.93</v>
      </c>
      <c r="F34" s="22">
        <f ca="1">F33+F28</f>
        <v>1017741.9</v>
      </c>
      <c r="G34" s="22">
        <f ca="1">G33+G28</f>
        <v>17439.79</v>
      </c>
      <c r="H34" s="23">
        <f ca="1">H33+H28</f>
        <v>12357729.96</v>
      </c>
      <c r="I34" s="26"/>
      <c r="J34" s="26"/>
      <c r="K34" s="26"/>
      <c r="L34" s="26"/>
      <c r="M34" s="26"/>
      <c r="N34" s="26"/>
      <c r="O34" s="26"/>
      <c r="P34" s="26"/>
      <c r="Q34" s="24">
        <f>SUM(I34:P34)</f>
        <v>0</v>
      </c>
      <c r="R34" s="32">
        <f ca="1">Q34-H34</f>
        <v>-12357729.96</v>
      </c>
      <c r="S34" s="11">
        <v>27</v>
      </c>
      <c r="T34" s="10"/>
      <c r="U34" s="10"/>
      <c r="V34" s="10"/>
      <c r="W34" s="10"/>
    </row>
    <row r="35" ht="16.5" customHeight="1" spans="1:21">
      <c r="A35" s="6">
        <v>6</v>
      </c>
      <c r="B35" s="6">
        <v>18</v>
      </c>
      <c r="C35" s="18" t="s">
        <v>27</v>
      </c>
      <c r="D35" s="19">
        <f ca="1">ROUND(D89,2)</f>
        <v>890542.46</v>
      </c>
      <c r="E35" s="19"/>
      <c r="F35" s="19"/>
      <c r="G35" s="19"/>
      <c r="H35" s="20">
        <f ca="1" t="shared" ref="H35:H38" si="40">SUM(D35:G35)</f>
        <v>890542.46</v>
      </c>
      <c r="I35" s="26">
        <f ca="1" t="shared" ref="I35:I37" si="41">$H35*3/21</f>
        <v>127220.351428571</v>
      </c>
      <c r="J35" s="26">
        <f ca="1" t="shared" ref="J35:J37" si="42">$H35*2.5/21</f>
        <v>106016.95952381</v>
      </c>
      <c r="K35" s="26">
        <f ca="1" t="shared" ref="K35:K37" si="43">$H35*4.5/21</f>
        <v>190830.527142857</v>
      </c>
      <c r="L35" s="26">
        <f ca="1" t="shared" ref="L35:L37" si="44">$H35*3/21</f>
        <v>127220.351428571</v>
      </c>
      <c r="M35" s="26">
        <f ca="1" t="shared" ref="M35:M37" si="45">$H35*4/21</f>
        <v>169627.135238095</v>
      </c>
      <c r="N35" s="26">
        <f ca="1" t="shared" ref="N35:N37" si="46">H35-I35-J35-K35-L35-M35</f>
        <v>169627.135238095</v>
      </c>
      <c r="O35" s="26"/>
      <c r="P35" s="26"/>
      <c r="Q35" s="24">
        <f ca="1">SUM(I35:P35)</f>
        <v>890542.46</v>
      </c>
      <c r="R35" s="32">
        <f ca="1">Q35-H35</f>
        <v>0</v>
      </c>
      <c r="S35" s="11">
        <v>28</v>
      </c>
      <c r="U35" s="11">
        <v>6</v>
      </c>
    </row>
    <row r="36" ht="16.5" customHeight="1" spans="1:20">
      <c r="A36" s="6">
        <v>6</v>
      </c>
      <c r="B36" s="6">
        <v>50</v>
      </c>
      <c r="C36" s="18" t="s">
        <v>28</v>
      </c>
      <c r="D36" s="19"/>
      <c r="E36" s="19">
        <f ca="1">ROUND(E89,2)</f>
        <v>1338018.07</v>
      </c>
      <c r="F36" s="19"/>
      <c r="G36" s="19"/>
      <c r="H36" s="20">
        <f ca="1">SUM(D36:G36)</f>
        <v>1338018.07</v>
      </c>
      <c r="I36" s="26">
        <f ca="1">$H36*3/21</f>
        <v>191145.438571429</v>
      </c>
      <c r="J36" s="26">
        <f ca="1">$H36*2.5/21</f>
        <v>159287.86547619</v>
      </c>
      <c r="K36" s="26">
        <f ca="1">$H36*4.5/21</f>
        <v>286718.157857143</v>
      </c>
      <c r="L36" s="26">
        <f ca="1">$H36*3/21</f>
        <v>191145.438571429</v>
      </c>
      <c r="M36" s="26">
        <f ca="1">$H36*4/21</f>
        <v>254860.584761905</v>
      </c>
      <c r="N36" s="26">
        <f ca="1">H36-I36-J36-K36-L36-M36</f>
        <v>254860.584761905</v>
      </c>
      <c r="O36" s="26"/>
      <c r="P36" s="26"/>
      <c r="Q36" s="24">
        <f ca="1">SUM(I36:P36)</f>
        <v>1338018.07</v>
      </c>
      <c r="R36" s="32">
        <f ca="1">Q36-H36</f>
        <v>0</v>
      </c>
      <c r="S36" s="11">
        <v>29</v>
      </c>
      <c r="T36" s="11">
        <v>6</v>
      </c>
    </row>
    <row r="37" ht="16.5" customHeight="1" spans="1:22">
      <c r="A37" s="6">
        <v>6</v>
      </c>
      <c r="B37" s="6">
        <v>54</v>
      </c>
      <c r="C37" s="18" t="s">
        <v>29</v>
      </c>
      <c r="D37" s="19"/>
      <c r="E37" s="19"/>
      <c r="F37" s="19">
        <f ca="1">ROUND(F89,2)</f>
        <v>208381.16</v>
      </c>
      <c r="G37" s="19"/>
      <c r="H37" s="20">
        <f ca="1">SUM(D37:G37)</f>
        <v>208381.16</v>
      </c>
      <c r="I37" s="26">
        <f ca="1">$H37*3/21</f>
        <v>29768.7371428571</v>
      </c>
      <c r="J37" s="26">
        <f ca="1">$H37*2.5/21</f>
        <v>24807.280952381</v>
      </c>
      <c r="K37" s="26">
        <f ca="1">$H37*4.5/21</f>
        <v>44653.1057142857</v>
      </c>
      <c r="L37" s="26">
        <f ca="1">$H37*3/21</f>
        <v>29768.7371428571</v>
      </c>
      <c r="M37" s="26">
        <f ca="1">$H37*4/21</f>
        <v>39691.6495238095</v>
      </c>
      <c r="N37" s="26">
        <f ca="1">H37-I37-J37-K37-L37-M37</f>
        <v>39691.6495238096</v>
      </c>
      <c r="O37" s="26"/>
      <c r="P37" s="26"/>
      <c r="Q37" s="24">
        <f ca="1">SUM(I37:P37)</f>
        <v>208381.16</v>
      </c>
      <c r="R37" s="32">
        <f ca="1">Q37-H37</f>
        <v>0</v>
      </c>
      <c r="S37" s="11">
        <v>30</v>
      </c>
      <c r="V37" s="11">
        <v>6</v>
      </c>
    </row>
    <row r="38" ht="16.5" customHeight="1" spans="1:18">
      <c r="A38" s="6"/>
      <c r="B38" s="6"/>
      <c r="C38" s="18" t="s">
        <v>30</v>
      </c>
      <c r="D38" s="19"/>
      <c r="E38" s="19"/>
      <c r="F38" s="19"/>
      <c r="G38" s="19">
        <f ca="1">ROUND(G89,2)</f>
        <v>3288.03</v>
      </c>
      <c r="H38" s="20">
        <f ca="1">SUM(D38:G38)</f>
        <v>3288.03</v>
      </c>
      <c r="I38" s="26"/>
      <c r="J38" s="26"/>
      <c r="K38" s="26"/>
      <c r="L38" s="26"/>
      <c r="M38" s="26"/>
      <c r="N38" s="26"/>
      <c r="O38" s="26"/>
      <c r="P38" s="26"/>
      <c r="Q38" s="24"/>
      <c r="R38" s="32"/>
    </row>
    <row r="39" s="9" customFormat="1" ht="16.5" customHeight="1" spans="1:23">
      <c r="A39" s="21"/>
      <c r="B39" s="6"/>
      <c r="C39" s="5" t="s">
        <v>31</v>
      </c>
      <c r="D39" s="22">
        <f ca="1" t="shared" ref="D39:H39" si="47">SUM(D35:D38)</f>
        <v>890542.46</v>
      </c>
      <c r="E39" s="22">
        <f ca="1">SUM(E35:E38)</f>
        <v>1338018.07</v>
      </c>
      <c r="F39" s="22">
        <f ca="1">SUM(F35:F38)</f>
        <v>208381.16</v>
      </c>
      <c r="G39" s="22">
        <f ca="1">SUM(G35:G38)</f>
        <v>3288.03</v>
      </c>
      <c r="H39" s="22">
        <f ca="1">SUM(H35:H38)</f>
        <v>2440229.72</v>
      </c>
      <c r="I39" s="26"/>
      <c r="J39" s="26"/>
      <c r="K39" s="26"/>
      <c r="L39" s="26"/>
      <c r="M39" s="26"/>
      <c r="N39" s="26"/>
      <c r="O39" s="26"/>
      <c r="P39" s="26"/>
      <c r="Q39" s="24">
        <f t="shared" ref="Q39:Q49" si="48">SUM(I39:P39)</f>
        <v>0</v>
      </c>
      <c r="R39" s="32">
        <f ca="1" t="shared" ref="R39:R49" si="49">Q39-H39</f>
        <v>-2440229.72</v>
      </c>
      <c r="S39" s="11">
        <v>31</v>
      </c>
      <c r="T39" s="10"/>
      <c r="U39" s="10"/>
      <c r="V39" s="10"/>
      <c r="W39" s="10"/>
    </row>
    <row r="40" s="9" customFormat="1" ht="16.5" customHeight="1" spans="1:23">
      <c r="A40" s="21"/>
      <c r="B40" s="6"/>
      <c r="C40" s="5" t="s">
        <v>32</v>
      </c>
      <c r="D40" s="22">
        <f ca="1" t="shared" ref="D40:H40" si="50">D39+D34</f>
        <v>5282776.8</v>
      </c>
      <c r="E40" s="22">
        <f ca="1">E39+E34</f>
        <v>8268332</v>
      </c>
      <c r="F40" s="22">
        <f ca="1">F39+F34</f>
        <v>1226123.06</v>
      </c>
      <c r="G40" s="22">
        <f ca="1">G39+G34</f>
        <v>20727.82</v>
      </c>
      <c r="H40" s="23">
        <f ca="1">H39+H34</f>
        <v>14797959.68</v>
      </c>
      <c r="I40" s="26"/>
      <c r="J40" s="26"/>
      <c r="K40" s="26"/>
      <c r="L40" s="26"/>
      <c r="M40" s="26"/>
      <c r="N40" s="26"/>
      <c r="O40" s="26"/>
      <c r="P40" s="26"/>
      <c r="Q40" s="24">
        <f>SUM(I40:P40)</f>
        <v>0</v>
      </c>
      <c r="R40" s="32">
        <f ca="1">Q40-H40</f>
        <v>-14797959.68</v>
      </c>
      <c r="S40" s="11">
        <v>32</v>
      </c>
      <c r="T40" s="10"/>
      <c r="U40" s="10"/>
      <c r="V40" s="10"/>
      <c r="W40" s="10"/>
    </row>
    <row r="41" ht="16.5" customHeight="1" spans="1:21">
      <c r="A41" s="6">
        <v>7</v>
      </c>
      <c r="B41" s="6">
        <v>21</v>
      </c>
      <c r="C41" s="18" t="s">
        <v>27</v>
      </c>
      <c r="D41" s="19">
        <f ca="1">ROUND(D90,2)</f>
        <v>899098.68</v>
      </c>
      <c r="E41" s="19"/>
      <c r="F41" s="19"/>
      <c r="G41" s="19"/>
      <c r="H41" s="20">
        <f ca="1" t="shared" ref="H41:H44" si="51">SUM(D41:G41)</f>
        <v>899098.68</v>
      </c>
      <c r="I41" s="26"/>
      <c r="J41" s="26"/>
      <c r="K41" s="26">
        <f ca="1" t="shared" ref="K41:K44" si="52">$H41*3.5/23</f>
        <v>136819.364347826</v>
      </c>
      <c r="L41" s="26">
        <f ca="1" t="shared" ref="L41:L44" si="53">$H41*4.25/23</f>
        <v>166137.799565217</v>
      </c>
      <c r="M41" s="26">
        <f ca="1" t="shared" ref="M41:M44" si="54">$H41*5.5/23</f>
        <v>215001.85826087</v>
      </c>
      <c r="N41" s="26">
        <f ca="1" t="shared" ref="N41:N44" si="55">$H41*4/23</f>
        <v>156364.987826087</v>
      </c>
      <c r="O41" s="26">
        <f ca="1" t="shared" ref="O41:O44" si="56">$H41*2.75/23</f>
        <v>107500.929130435</v>
      </c>
      <c r="P41" s="26">
        <f ca="1" t="shared" ref="P41:P44" si="57">H41-I41-J41-K41-L41-M41-N41-O41</f>
        <v>117273.740869565</v>
      </c>
      <c r="Q41" s="24">
        <f ca="1">SUM(I41:P41)</f>
        <v>899098.68</v>
      </c>
      <c r="R41" s="32">
        <f ca="1">Q41-H41</f>
        <v>0</v>
      </c>
      <c r="S41" s="11">
        <v>33</v>
      </c>
      <c r="U41" s="11">
        <v>7</v>
      </c>
    </row>
    <row r="42" ht="16.5" customHeight="1" spans="1:20">
      <c r="A42" s="6">
        <v>7</v>
      </c>
      <c r="B42" s="6">
        <v>77</v>
      </c>
      <c r="C42" s="18" t="s">
        <v>28</v>
      </c>
      <c r="D42" s="19"/>
      <c r="E42" s="19">
        <f ca="1">ROUND(E90,2)</f>
        <v>1421039.21</v>
      </c>
      <c r="F42" s="19"/>
      <c r="G42" s="19"/>
      <c r="H42" s="20">
        <f ca="1">SUM(D42:G42)</f>
        <v>1421039.21</v>
      </c>
      <c r="I42" s="26"/>
      <c r="J42" s="26"/>
      <c r="K42" s="26">
        <f ca="1">$H42*3.5/23</f>
        <v>216245.097173913</v>
      </c>
      <c r="L42" s="26">
        <f ca="1">$H42*4.25/23</f>
        <v>262583.332282609</v>
      </c>
      <c r="M42" s="26">
        <f ca="1">$H42*5.5/23</f>
        <v>339813.724130435</v>
      </c>
      <c r="N42" s="26">
        <f ca="1">$H42*4/23</f>
        <v>247137.253913043</v>
      </c>
      <c r="O42" s="26">
        <f ca="1">$H42*2.75/23</f>
        <v>169906.862065217</v>
      </c>
      <c r="P42" s="26">
        <f ca="1">H42-I42-J42-K42-L42-M42-N42-O42</f>
        <v>185352.940434783</v>
      </c>
      <c r="Q42" s="24">
        <f ca="1">SUM(I42:P42)</f>
        <v>1421039.21</v>
      </c>
      <c r="R42" s="32">
        <f ca="1">Q42-H42</f>
        <v>0</v>
      </c>
      <c r="S42" s="11">
        <v>34</v>
      </c>
      <c r="T42" s="11">
        <v>7</v>
      </c>
    </row>
    <row r="43" ht="16.5" customHeight="1" spans="1:22">
      <c r="A43" s="6">
        <v>7</v>
      </c>
      <c r="B43" s="6">
        <v>66</v>
      </c>
      <c r="C43" s="18" t="s">
        <v>29</v>
      </c>
      <c r="D43" s="19"/>
      <c r="E43" s="19"/>
      <c r="F43" s="19">
        <f ca="1">ROUND(F90,2)</f>
        <v>207413.02</v>
      </c>
      <c r="G43" s="19"/>
      <c r="H43" s="20">
        <f ca="1">SUM(D43:G43)</f>
        <v>207413.02</v>
      </c>
      <c r="I43" s="26"/>
      <c r="J43" s="26"/>
      <c r="K43" s="26">
        <f ca="1">$H43*3.5/23</f>
        <v>31562.8508695652</v>
      </c>
      <c r="L43" s="26">
        <f ca="1">$H43*4.25/23</f>
        <v>38326.3189130435</v>
      </c>
      <c r="M43" s="26">
        <f ca="1">$H43*5.5/23</f>
        <v>49598.7656521739</v>
      </c>
      <c r="N43" s="26">
        <f ca="1">$H43*4/23</f>
        <v>36071.8295652174</v>
      </c>
      <c r="O43" s="26">
        <f ca="1">$H43*2.75/23</f>
        <v>24799.382826087</v>
      </c>
      <c r="P43" s="26">
        <f ca="1">H43-I43-J43-K43-L43-M43-N43-O43</f>
        <v>27053.8721739131</v>
      </c>
      <c r="Q43" s="24">
        <f ca="1">SUM(I43:P43)</f>
        <v>207413.02</v>
      </c>
      <c r="R43" s="32">
        <f ca="1">Q43-H43</f>
        <v>0</v>
      </c>
      <c r="S43" s="11">
        <v>35</v>
      </c>
      <c r="V43" s="11">
        <v>7</v>
      </c>
    </row>
    <row r="44" ht="16.5" customHeight="1" spans="1:23">
      <c r="A44" s="6">
        <v>7</v>
      </c>
      <c r="B44" s="6">
        <v>62</v>
      </c>
      <c r="C44" s="18" t="s">
        <v>30</v>
      </c>
      <c r="D44" s="19"/>
      <c r="E44" s="19"/>
      <c r="F44" s="19"/>
      <c r="G44" s="19">
        <f ca="1">ROUND(G90,2)</f>
        <v>3321.02</v>
      </c>
      <c r="H44" s="20">
        <f ca="1">SUM(D44:G44)</f>
        <v>3321.02</v>
      </c>
      <c r="I44" s="26"/>
      <c r="J44" s="26"/>
      <c r="K44" s="26">
        <f ca="1">$H44*3.5/23</f>
        <v>505.372608695652</v>
      </c>
      <c r="L44" s="26">
        <f ca="1">$H44*4.25/23</f>
        <v>613.666739130435</v>
      </c>
      <c r="M44" s="26">
        <f ca="1">$H44*5.5/23</f>
        <v>794.156956521739</v>
      </c>
      <c r="N44" s="26">
        <f ca="1">$H44*4/23</f>
        <v>577.568695652174</v>
      </c>
      <c r="O44" s="26">
        <f ca="1">$H44*2.75/23</f>
        <v>397.07847826087</v>
      </c>
      <c r="P44" s="26">
        <f ca="1">H44-I44-J44-K44-L44-M44-N44-O44</f>
        <v>433.17652173913</v>
      </c>
      <c r="Q44" s="24">
        <f ca="1">SUM(I44:P44)</f>
        <v>3321.02</v>
      </c>
      <c r="R44" s="32">
        <f ca="1">Q44-H44</f>
        <v>0</v>
      </c>
      <c r="S44" s="11">
        <v>36</v>
      </c>
      <c r="W44" s="11">
        <v>3</v>
      </c>
    </row>
    <row r="45" s="9" customFormat="1" ht="16.5" customHeight="1" spans="1:23">
      <c r="A45" s="21"/>
      <c r="B45" s="6"/>
      <c r="C45" s="5" t="s">
        <v>31</v>
      </c>
      <c r="D45" s="22">
        <f ca="1" t="shared" ref="D45:H45" si="58">SUM(D41:D44)</f>
        <v>899098.68</v>
      </c>
      <c r="E45" s="22">
        <f ca="1">SUM(E41:E44)</f>
        <v>1421039.21</v>
      </c>
      <c r="F45" s="22">
        <f ca="1">SUM(F41:F44)</f>
        <v>207413.02</v>
      </c>
      <c r="G45" s="22">
        <f ca="1">SUM(G41:G44)</f>
        <v>3321.02</v>
      </c>
      <c r="H45" s="23">
        <f ca="1">SUM(H41:H44)</f>
        <v>2530871.93</v>
      </c>
      <c r="I45" s="26"/>
      <c r="J45" s="26"/>
      <c r="K45" s="26"/>
      <c r="L45" s="26"/>
      <c r="M45" s="26"/>
      <c r="N45" s="26"/>
      <c r="O45" s="26"/>
      <c r="P45" s="26"/>
      <c r="Q45" s="24">
        <f>SUM(I45:P45)</f>
        <v>0</v>
      </c>
      <c r="R45" s="32">
        <f ca="1">Q45-H45</f>
        <v>-2530871.93</v>
      </c>
      <c r="S45" s="11">
        <v>37</v>
      </c>
      <c r="T45" s="10"/>
      <c r="U45" s="10"/>
      <c r="V45" s="10"/>
      <c r="W45" s="10"/>
    </row>
    <row r="46" s="9" customFormat="1" ht="16.5" customHeight="1" spans="1:23">
      <c r="A46" s="21"/>
      <c r="B46" s="6"/>
      <c r="C46" s="5" t="s">
        <v>32</v>
      </c>
      <c r="D46" s="22">
        <f ca="1" t="shared" ref="D46:H46" si="59">D45+D40</f>
        <v>6181875.48</v>
      </c>
      <c r="E46" s="22">
        <f ca="1">E45+E40</f>
        <v>9689371.21</v>
      </c>
      <c r="F46" s="22">
        <f ca="1">F45+F40</f>
        <v>1433536.08</v>
      </c>
      <c r="G46" s="22">
        <f ca="1">G45+G40</f>
        <v>24048.84</v>
      </c>
      <c r="H46" s="23">
        <f ca="1">H45+H40</f>
        <v>17328831.61</v>
      </c>
      <c r="I46" s="26"/>
      <c r="J46" s="26"/>
      <c r="K46" s="26"/>
      <c r="L46" s="26"/>
      <c r="M46" s="26"/>
      <c r="N46" s="26"/>
      <c r="O46" s="26"/>
      <c r="P46" s="26"/>
      <c r="Q46" s="24">
        <f>SUM(I46:P46)</f>
        <v>0</v>
      </c>
      <c r="R46" s="32">
        <f ca="1">Q46-H46</f>
        <v>-17328831.61</v>
      </c>
      <c r="S46" s="11">
        <v>38</v>
      </c>
      <c r="T46" s="10"/>
      <c r="U46" s="10"/>
      <c r="V46" s="10"/>
      <c r="W46" s="10"/>
    </row>
    <row r="47" ht="16.5" customHeight="1" spans="1:21">
      <c r="A47" s="6">
        <v>8</v>
      </c>
      <c r="B47" s="6">
        <v>27</v>
      </c>
      <c r="C47" s="18" t="s">
        <v>27</v>
      </c>
      <c r="D47" s="19">
        <f ca="1">ROUND(D91,2)</f>
        <v>917854.95</v>
      </c>
      <c r="E47" s="19"/>
      <c r="F47" s="19"/>
      <c r="G47" s="19"/>
      <c r="H47" s="20">
        <f ca="1" t="shared" ref="H47:H50" si="60">SUM(D47:G47)</f>
        <v>917854.95</v>
      </c>
      <c r="I47" s="26"/>
      <c r="J47" s="26"/>
      <c r="K47" s="26">
        <f ca="1" t="shared" ref="K47:K49" si="61">$H47*2.5/21</f>
        <v>109268.446428571</v>
      </c>
      <c r="L47" s="26">
        <f ca="1" t="shared" ref="L47:L49" si="62">$H47*3.25/21</f>
        <v>142048.980357143</v>
      </c>
      <c r="M47" s="26">
        <f ca="1" t="shared" ref="M47:M49" si="63">$H47*3.75/21</f>
        <v>163902.669642857</v>
      </c>
      <c r="N47" s="26">
        <f ca="1" t="shared" ref="N47:N49" si="64">$H47*4.5/21</f>
        <v>196683.203571429</v>
      </c>
      <c r="O47" s="26">
        <f ca="1" t="shared" ref="O47:O49" si="65">$H47*4/21</f>
        <v>174829.514285714</v>
      </c>
      <c r="P47" s="26">
        <f ca="1" t="shared" ref="P47:P49" si="66">H47-I47-J47-K47-L47-M47-N47-O47</f>
        <v>131122.135714286</v>
      </c>
      <c r="Q47" s="24">
        <f ca="1">SUM(I47:P47)</f>
        <v>917854.95</v>
      </c>
      <c r="R47" s="32">
        <f ca="1">Q47-H47</f>
        <v>0</v>
      </c>
      <c r="S47" s="11">
        <v>39</v>
      </c>
      <c r="U47" s="11">
        <v>8</v>
      </c>
    </row>
    <row r="48" ht="16.5" customHeight="1" spans="1:20">
      <c r="A48" s="6">
        <v>8</v>
      </c>
      <c r="B48" s="6">
        <v>64</v>
      </c>
      <c r="C48" s="18" t="s">
        <v>28</v>
      </c>
      <c r="D48" s="19"/>
      <c r="E48" s="19">
        <f ca="1">ROUND(E91,2)</f>
        <v>1389537.97</v>
      </c>
      <c r="F48" s="19"/>
      <c r="G48" s="19"/>
      <c r="H48" s="20">
        <f ca="1">SUM(D48:G48)</f>
        <v>1389537.97</v>
      </c>
      <c r="I48" s="26"/>
      <c r="J48" s="26"/>
      <c r="K48" s="26">
        <f ca="1">$H48*2.5/21</f>
        <v>165421.186904762</v>
      </c>
      <c r="L48" s="26">
        <f ca="1">$H48*3.25/21</f>
        <v>215047.54297619</v>
      </c>
      <c r="M48" s="26">
        <f ca="1">$H48*3.75/21</f>
        <v>248131.780357143</v>
      </c>
      <c r="N48" s="26">
        <f ca="1">$H48*4.5/21</f>
        <v>297758.136428571</v>
      </c>
      <c r="O48" s="26">
        <f ca="1">$H48*4/21</f>
        <v>264673.899047619</v>
      </c>
      <c r="P48" s="26">
        <f ca="1">H48-I48-J48-K48-L48-M48-N48-O48</f>
        <v>198505.424285714</v>
      </c>
      <c r="Q48" s="24">
        <f ca="1">SUM(I48:P48)</f>
        <v>1389537.97</v>
      </c>
      <c r="R48" s="32">
        <f ca="1">Q48-H48</f>
        <v>0</v>
      </c>
      <c r="S48" s="11">
        <v>40</v>
      </c>
      <c r="T48" s="11">
        <v>8</v>
      </c>
    </row>
    <row r="49" ht="16.5" customHeight="1" spans="1:22">
      <c r="A49" s="6">
        <v>8</v>
      </c>
      <c r="B49" s="6">
        <v>33</v>
      </c>
      <c r="C49" s="18" t="s">
        <v>29</v>
      </c>
      <c r="D49" s="19"/>
      <c r="E49" s="19"/>
      <c r="F49" s="19">
        <f ca="1">ROUND(F91,2)</f>
        <v>213136.39</v>
      </c>
      <c r="G49" s="19"/>
      <c r="H49" s="20">
        <f ca="1">SUM(D49:G49)</f>
        <v>213136.39</v>
      </c>
      <c r="I49" s="26"/>
      <c r="J49" s="26"/>
      <c r="K49" s="26">
        <f ca="1">$H49*2.5/21</f>
        <v>25373.3797619048</v>
      </c>
      <c r="L49" s="26">
        <f ca="1">$H49*3.25/21</f>
        <v>32985.3936904762</v>
      </c>
      <c r="M49" s="26">
        <f ca="1">$H49*3.75/21</f>
        <v>38060.0696428571</v>
      </c>
      <c r="N49" s="26">
        <f ca="1">$H49*4.5/21</f>
        <v>45672.0835714286</v>
      </c>
      <c r="O49" s="26">
        <f ca="1">$H49*4/21</f>
        <v>40597.4076190476</v>
      </c>
      <c r="P49" s="26">
        <f ca="1">H49-I49-J49-K49-L49-M49-N49-O49</f>
        <v>30448.0557142857</v>
      </c>
      <c r="Q49" s="24">
        <f ca="1">SUM(I49:P49)</f>
        <v>213136.39</v>
      </c>
      <c r="R49" s="32">
        <f ca="1">Q49-H49</f>
        <v>0</v>
      </c>
      <c r="S49" s="11">
        <v>41</v>
      </c>
      <c r="V49" s="11">
        <v>8</v>
      </c>
    </row>
    <row r="50" ht="16.5" customHeight="1" spans="1:18">
      <c r="A50" s="6"/>
      <c r="B50" s="6"/>
      <c r="C50" s="18" t="s">
        <v>30</v>
      </c>
      <c r="D50" s="19"/>
      <c r="E50" s="19"/>
      <c r="F50" s="19"/>
      <c r="G50" s="19">
        <f ca="1">ROUND(G91,2)</f>
        <v>3318.41</v>
      </c>
      <c r="H50" s="20">
        <f ca="1">SUM(D50:G50)</f>
        <v>3318.41</v>
      </c>
      <c r="I50" s="26"/>
      <c r="J50" s="26"/>
      <c r="K50" s="26"/>
      <c r="L50" s="26"/>
      <c r="M50" s="26"/>
      <c r="N50" s="26"/>
      <c r="O50" s="26"/>
      <c r="P50" s="26"/>
      <c r="Q50" s="24"/>
      <c r="R50" s="32"/>
    </row>
    <row r="51" s="9" customFormat="1" ht="16.5" customHeight="1" spans="1:23">
      <c r="A51" s="21"/>
      <c r="B51" s="6"/>
      <c r="C51" s="5" t="s">
        <v>31</v>
      </c>
      <c r="D51" s="22">
        <f ca="1" t="shared" ref="D51:H51" si="67">SUM(D47:D50)</f>
        <v>917854.95</v>
      </c>
      <c r="E51" s="22">
        <f ca="1">SUM(E47:E50)</f>
        <v>1389537.97</v>
      </c>
      <c r="F51" s="22">
        <f ca="1">SUM(F47:F50)</f>
        <v>213136.39</v>
      </c>
      <c r="G51" s="22">
        <f ca="1">SUM(G47:G50)</f>
        <v>3318.41</v>
      </c>
      <c r="H51" s="22">
        <f ca="1">SUM(H47:H50)</f>
        <v>2523847.72</v>
      </c>
      <c r="I51" s="26"/>
      <c r="J51" s="26"/>
      <c r="K51" s="26"/>
      <c r="L51" s="26"/>
      <c r="M51" s="26"/>
      <c r="N51" s="26"/>
      <c r="O51" s="26"/>
      <c r="P51" s="26"/>
      <c r="Q51" s="24">
        <f t="shared" ref="Q51:Q67" si="68">SUM(I51:P51)</f>
        <v>0</v>
      </c>
      <c r="R51" s="32">
        <f ca="1" t="shared" ref="R51:R67" si="69">Q51-H51</f>
        <v>-2523847.72</v>
      </c>
      <c r="S51" s="11">
        <v>42</v>
      </c>
      <c r="T51" s="11"/>
      <c r="U51" s="10"/>
      <c r="V51" s="10"/>
      <c r="W51" s="10"/>
    </row>
    <row r="52" s="9" customFormat="1" ht="16.5" customHeight="1" spans="1:23">
      <c r="A52" s="21"/>
      <c r="B52" s="6"/>
      <c r="C52" s="5" t="s">
        <v>32</v>
      </c>
      <c r="D52" s="22">
        <f ca="1" t="shared" ref="D52:H52" si="70">D51+D46</f>
        <v>7099730.43</v>
      </c>
      <c r="E52" s="22">
        <f ca="1">E51+E46</f>
        <v>11078909.18</v>
      </c>
      <c r="F52" s="22">
        <f ca="1">F51+F46</f>
        <v>1646672.47</v>
      </c>
      <c r="G52" s="22">
        <f ca="1">G51+G46</f>
        <v>27367.25</v>
      </c>
      <c r="H52" s="23">
        <f ca="1">H51+H46</f>
        <v>19852679.33</v>
      </c>
      <c r="I52" s="26"/>
      <c r="J52" s="26"/>
      <c r="K52" s="26"/>
      <c r="L52" s="26"/>
      <c r="M52" s="26"/>
      <c r="N52" s="26"/>
      <c r="O52" s="26"/>
      <c r="P52" s="26"/>
      <c r="Q52" s="24">
        <f>SUM(I52:P52)</f>
        <v>0</v>
      </c>
      <c r="R52" s="32">
        <f ca="1">Q52-H52</f>
        <v>-19852679.33</v>
      </c>
      <c r="S52" s="11">
        <v>43</v>
      </c>
      <c r="T52" s="11"/>
      <c r="U52" s="10"/>
      <c r="V52" s="10"/>
      <c r="W52" s="10"/>
    </row>
    <row r="53" s="9" customFormat="1" ht="16.5" customHeight="1" spans="1:23">
      <c r="A53" s="6">
        <v>9</v>
      </c>
      <c r="B53" s="6">
        <v>31</v>
      </c>
      <c r="C53" s="18" t="s">
        <v>27</v>
      </c>
      <c r="D53" s="19">
        <f ca="1">ROUND(D92,2)</f>
        <v>845028.11</v>
      </c>
      <c r="E53" s="19"/>
      <c r="F53" s="19"/>
      <c r="G53" s="19"/>
      <c r="H53" s="20">
        <f ca="1" t="shared" ref="H53:H56" si="71">SUM(D53:G53)</f>
        <v>845028.11</v>
      </c>
      <c r="I53" s="26"/>
      <c r="J53" s="26"/>
      <c r="K53" s="26"/>
      <c r="L53" s="26"/>
      <c r="M53" s="26">
        <f ca="1" t="shared" ref="M53:M56" si="72">$H53*5.5/23</f>
        <v>202071.939347826</v>
      </c>
      <c r="N53" s="26">
        <f ca="1" t="shared" ref="N53:N56" si="73">$H53*6.5/23</f>
        <v>238812.291956522</v>
      </c>
      <c r="O53" s="26">
        <f ca="1" t="shared" ref="O53:O56" si="74">$H53*6/23</f>
        <v>220442.115652174</v>
      </c>
      <c r="P53" s="26">
        <f ca="1" t="shared" ref="P53:P56" si="75">H53-I53-J53-K53-L53-M53-N53-O53</f>
        <v>183701.763043478</v>
      </c>
      <c r="Q53" s="24">
        <f ca="1">SUM(I53:P53)</f>
        <v>845028.11</v>
      </c>
      <c r="R53" s="32">
        <f ca="1">Q53-H53</f>
        <v>0</v>
      </c>
      <c r="S53" s="11">
        <v>44</v>
      </c>
      <c r="T53" s="11"/>
      <c r="U53" s="11">
        <v>9</v>
      </c>
      <c r="V53" s="10"/>
      <c r="W53" s="10"/>
    </row>
    <row r="54" s="9" customFormat="1" ht="16.5" customHeight="1" spans="1:23">
      <c r="A54" s="6">
        <v>9</v>
      </c>
      <c r="B54" s="6">
        <v>74</v>
      </c>
      <c r="C54" s="18" t="s">
        <v>28</v>
      </c>
      <c r="D54" s="19"/>
      <c r="E54" s="19">
        <f ca="1">ROUND(E92,2)</f>
        <v>1424055.43</v>
      </c>
      <c r="F54" s="19"/>
      <c r="G54" s="19"/>
      <c r="H54" s="20">
        <f ca="1">SUM(D54:G54)</f>
        <v>1424055.43</v>
      </c>
      <c r="I54" s="26"/>
      <c r="J54" s="26"/>
      <c r="K54" s="26"/>
      <c r="L54" s="26"/>
      <c r="M54" s="26">
        <f ca="1">$H54*5.5/23</f>
        <v>340534.994130435</v>
      </c>
      <c r="N54" s="26">
        <f ca="1">$H54*6.5/23</f>
        <v>402450.447608696</v>
      </c>
      <c r="O54" s="26">
        <f ca="1">$H54*6/23</f>
        <v>371492.720869565</v>
      </c>
      <c r="P54" s="26">
        <f ca="1">H54-I54-J54-K54-L54-M54-N54-O54</f>
        <v>309577.267391304</v>
      </c>
      <c r="Q54" s="24">
        <f ca="1">SUM(I54:P54)</f>
        <v>1424055.43</v>
      </c>
      <c r="R54" s="32">
        <f ca="1">Q54-H54</f>
        <v>0</v>
      </c>
      <c r="S54" s="11">
        <v>45</v>
      </c>
      <c r="T54" s="11">
        <v>9</v>
      </c>
      <c r="U54" s="10"/>
      <c r="V54" s="10"/>
      <c r="W54" s="10"/>
    </row>
    <row r="55" s="9" customFormat="1" ht="16.5" customHeight="1" spans="1:23">
      <c r="A55" s="6">
        <v>9</v>
      </c>
      <c r="B55" s="6">
        <v>43</v>
      </c>
      <c r="C55" s="18" t="s">
        <v>29</v>
      </c>
      <c r="D55" s="19"/>
      <c r="E55" s="19"/>
      <c r="F55" s="19">
        <f ca="1">ROUND(F92,2)</f>
        <v>204843.62</v>
      </c>
      <c r="G55" s="19"/>
      <c r="H55" s="20">
        <f ca="1">SUM(D55:G55)</f>
        <v>204843.62</v>
      </c>
      <c r="I55" s="26"/>
      <c r="J55" s="26"/>
      <c r="K55" s="26"/>
      <c r="L55" s="26"/>
      <c r="M55" s="26">
        <f ca="1">$H55*5.5/23</f>
        <v>48984.3439130435</v>
      </c>
      <c r="N55" s="26">
        <f ca="1">$H55*6.5/23</f>
        <v>57890.5882608696</v>
      </c>
      <c r="O55" s="26">
        <f ca="1">$H55*6/23</f>
        <v>53437.4660869565</v>
      </c>
      <c r="P55" s="26">
        <f ca="1">H55-I55-J55-K55-L55-M55-N55-O55</f>
        <v>44531.2217391304</v>
      </c>
      <c r="Q55" s="24">
        <f ca="1">SUM(I55:P55)</f>
        <v>204843.62</v>
      </c>
      <c r="R55" s="32">
        <f ca="1">Q55-H55</f>
        <v>0</v>
      </c>
      <c r="S55" s="11">
        <v>46</v>
      </c>
      <c r="T55" s="11"/>
      <c r="U55" s="10"/>
      <c r="V55" s="10">
        <v>9</v>
      </c>
      <c r="W55" s="11"/>
    </row>
    <row r="56" s="9" customFormat="1" ht="16.5" customHeight="1" spans="1:23">
      <c r="A56" s="6">
        <v>9</v>
      </c>
      <c r="B56" s="6">
        <v>45</v>
      </c>
      <c r="C56" s="18" t="s">
        <v>30</v>
      </c>
      <c r="D56" s="19"/>
      <c r="E56" s="19"/>
      <c r="F56" s="19"/>
      <c r="G56" s="19">
        <f ca="1">ROUND(G92,2)</f>
        <v>3333.23</v>
      </c>
      <c r="H56" s="20">
        <f ca="1">SUM(D56:G56)</f>
        <v>3333.23</v>
      </c>
      <c r="I56" s="26"/>
      <c r="J56" s="26"/>
      <c r="K56" s="26"/>
      <c r="L56" s="26"/>
      <c r="M56" s="26">
        <f ca="1">$H56*5.5/23</f>
        <v>797.076739130435</v>
      </c>
      <c r="N56" s="26">
        <f ca="1">$H56*6.5/23</f>
        <v>941.999782608696</v>
      </c>
      <c r="O56" s="26">
        <f ca="1">$H56*6/23</f>
        <v>869.538260869565</v>
      </c>
      <c r="P56" s="26">
        <f ca="1">H56-I56-J56-K56-L56-M56-N56-O56</f>
        <v>724.615217391304</v>
      </c>
      <c r="Q56" s="24">
        <f ca="1">SUM(I56:P56)</f>
        <v>3333.23</v>
      </c>
      <c r="R56" s="32">
        <f ca="1">Q56-H56</f>
        <v>0</v>
      </c>
      <c r="S56" s="11">
        <v>47</v>
      </c>
      <c r="T56" s="10"/>
      <c r="U56" s="10"/>
      <c r="V56" s="11"/>
      <c r="W56" s="10">
        <v>4</v>
      </c>
    </row>
    <row r="57" s="9" customFormat="1" ht="16.5" customHeight="1" spans="1:23">
      <c r="A57" s="21"/>
      <c r="B57" s="6"/>
      <c r="C57" s="5" t="s">
        <v>31</v>
      </c>
      <c r="D57" s="22">
        <f ca="1" t="shared" ref="D57:H57" si="76">SUM(D53:D56)</f>
        <v>845028.11</v>
      </c>
      <c r="E57" s="22">
        <f ca="1">SUM(E53:E56)</f>
        <v>1424055.43</v>
      </c>
      <c r="F57" s="22">
        <f ca="1">SUM(F53:F56)</f>
        <v>204843.62</v>
      </c>
      <c r="G57" s="22">
        <f ca="1">SUM(G53:G56)</f>
        <v>3333.23</v>
      </c>
      <c r="H57" s="23">
        <f ca="1">SUM(H53:H56)</f>
        <v>2477260.39</v>
      </c>
      <c r="I57" s="26"/>
      <c r="J57" s="26"/>
      <c r="K57" s="26"/>
      <c r="L57" s="26"/>
      <c r="M57" s="26"/>
      <c r="N57" s="26"/>
      <c r="O57" s="26"/>
      <c r="P57" s="26"/>
      <c r="Q57" s="24">
        <f>SUM(I57:P57)</f>
        <v>0</v>
      </c>
      <c r="R57" s="32">
        <f ca="1">Q57-H57</f>
        <v>-2477260.39</v>
      </c>
      <c r="S57" s="11">
        <v>48</v>
      </c>
      <c r="T57" s="10"/>
      <c r="U57" s="10"/>
      <c r="V57" s="10"/>
      <c r="W57" s="10"/>
    </row>
    <row r="58" s="9" customFormat="1" ht="16.5" customHeight="1" spans="1:23">
      <c r="A58" s="21"/>
      <c r="B58" s="6"/>
      <c r="C58" s="5" t="s">
        <v>32</v>
      </c>
      <c r="D58" s="22">
        <f ca="1" t="shared" ref="D58:H58" si="77">D57+D52</f>
        <v>7944758.54</v>
      </c>
      <c r="E58" s="22">
        <f ca="1">E57+E52</f>
        <v>12502964.61</v>
      </c>
      <c r="F58" s="22">
        <f ca="1">F57+F52</f>
        <v>1851516.09</v>
      </c>
      <c r="G58" s="22">
        <f ca="1">G57+G52</f>
        <v>30700.48</v>
      </c>
      <c r="H58" s="23">
        <f ca="1">H57+H52</f>
        <v>22329939.72</v>
      </c>
      <c r="I58" s="26"/>
      <c r="J58" s="26"/>
      <c r="K58" s="26"/>
      <c r="L58" s="26"/>
      <c r="M58" s="26"/>
      <c r="N58" s="26"/>
      <c r="O58" s="26"/>
      <c r="P58" s="26"/>
      <c r="Q58" s="24">
        <f>SUM(I58:P58)</f>
        <v>0</v>
      </c>
      <c r="R58" s="32">
        <f ca="1">Q58-H58</f>
        <v>-22329939.72</v>
      </c>
      <c r="S58" s="11">
        <v>49</v>
      </c>
      <c r="T58" s="10"/>
      <c r="U58" s="10"/>
      <c r="V58" s="10"/>
      <c r="W58" s="10"/>
    </row>
    <row r="59" ht="16.5" customHeight="1" spans="1:21">
      <c r="A59" s="6">
        <v>10</v>
      </c>
      <c r="B59" s="6">
        <v>12</v>
      </c>
      <c r="C59" s="18" t="s">
        <v>27</v>
      </c>
      <c r="D59" s="19">
        <f ca="1">ROUND(D93,2)</f>
        <v>877570.32</v>
      </c>
      <c r="E59" s="24"/>
      <c r="F59" s="24"/>
      <c r="G59" s="24"/>
      <c r="H59" s="20">
        <f ca="1" t="shared" ref="H59:H62" si="78">SUM(D59:G59)</f>
        <v>877570.32</v>
      </c>
      <c r="I59" s="26"/>
      <c r="J59" s="26"/>
      <c r="K59" s="26"/>
      <c r="L59" s="26"/>
      <c r="M59" s="26">
        <f ca="1" t="shared" ref="M59:M62" si="79">$H59*3.75/17</f>
        <v>193581.688235294</v>
      </c>
      <c r="N59" s="26">
        <f ca="1" t="shared" ref="N59:N62" si="80">$H59*4.25/17</f>
        <v>219392.58</v>
      </c>
      <c r="O59" s="26">
        <f ca="1" t="shared" ref="O59:O62" si="81">$H59*4/17</f>
        <v>206487.134117647</v>
      </c>
      <c r="P59" s="26">
        <f ca="1" t="shared" ref="P59:P62" si="82">H59-I59-J59-K59-L59-M59-N59-O59</f>
        <v>258108.917647059</v>
      </c>
      <c r="Q59" s="24">
        <f ca="1">SUM(I59:P59)</f>
        <v>877570.32</v>
      </c>
      <c r="R59" s="32">
        <f ca="1">Q59-H59</f>
        <v>0</v>
      </c>
      <c r="S59" s="11">
        <v>50</v>
      </c>
      <c r="U59" s="11">
        <v>10</v>
      </c>
    </row>
    <row r="60" ht="16.5" customHeight="1" spans="1:20">
      <c r="A60" s="6">
        <v>10</v>
      </c>
      <c r="B60" s="6">
        <v>51</v>
      </c>
      <c r="C60" s="18" t="s">
        <v>28</v>
      </c>
      <c r="D60" s="19"/>
      <c r="E60" s="19">
        <f ca="1">ROUND(E93,2)</f>
        <v>1389113.24</v>
      </c>
      <c r="F60" s="24"/>
      <c r="G60" s="24"/>
      <c r="H60" s="20">
        <f ca="1">SUM(D60:G60)</f>
        <v>1389113.24</v>
      </c>
      <c r="I60" s="26"/>
      <c r="J60" s="26"/>
      <c r="K60" s="26"/>
      <c r="L60" s="26"/>
      <c r="M60" s="26">
        <f ca="1">$H60*3.75/17</f>
        <v>306422.038235294</v>
      </c>
      <c r="N60" s="26">
        <f ca="1">$H60*4.25/17</f>
        <v>347278.31</v>
      </c>
      <c r="O60" s="26">
        <f ca="1">$H60*4/17</f>
        <v>326850.174117647</v>
      </c>
      <c r="P60" s="26">
        <f ca="1">H60-I60-J60-K60-L60-M60-N60-O60</f>
        <v>408562.717647059</v>
      </c>
      <c r="Q60" s="24">
        <f ca="1">SUM(I60:P60)</f>
        <v>1389113.24</v>
      </c>
      <c r="R60" s="32">
        <f ca="1">Q60-H60</f>
        <v>0</v>
      </c>
      <c r="S60" s="11">
        <v>51</v>
      </c>
      <c r="T60" s="11">
        <v>10</v>
      </c>
    </row>
    <row r="61" ht="16.5" customHeight="1" spans="1:22">
      <c r="A61" s="6">
        <v>10</v>
      </c>
      <c r="B61" s="6">
        <v>44</v>
      </c>
      <c r="C61" s="18" t="s">
        <v>29</v>
      </c>
      <c r="D61" s="19"/>
      <c r="E61" s="19"/>
      <c r="F61" s="19">
        <f ca="1">ROUND(F93,2)</f>
        <v>204348.44</v>
      </c>
      <c r="G61" s="24"/>
      <c r="H61" s="20">
        <f ca="1">SUM(D61:G61)</f>
        <v>204348.44</v>
      </c>
      <c r="I61" s="26"/>
      <c r="J61" s="26"/>
      <c r="K61" s="26"/>
      <c r="L61" s="26"/>
      <c r="M61" s="26">
        <f ca="1">$H61*3.75/17</f>
        <v>45076.8617647059</v>
      </c>
      <c r="N61" s="26">
        <f ca="1">$H61*4.25/17</f>
        <v>51087.11</v>
      </c>
      <c r="O61" s="26">
        <f ca="1">$H61*4/17</f>
        <v>48081.9858823529</v>
      </c>
      <c r="P61" s="26">
        <f ca="1">H61-I61-J61-K61-L61-M61-N61-O61</f>
        <v>60102.4823529412</v>
      </c>
      <c r="Q61" s="24">
        <f ca="1">SUM(I61:P61)</f>
        <v>204348.44</v>
      </c>
      <c r="R61" s="32">
        <f ca="1">Q61-H61</f>
        <v>0</v>
      </c>
      <c r="S61" s="11">
        <v>52</v>
      </c>
      <c r="V61" s="11">
        <v>10</v>
      </c>
    </row>
    <row r="62" ht="16.5" customHeight="1" spans="1:23">
      <c r="A62" s="6">
        <v>10</v>
      </c>
      <c r="B62" s="6">
        <v>32</v>
      </c>
      <c r="C62" s="18" t="s">
        <v>30</v>
      </c>
      <c r="D62" s="19"/>
      <c r="E62" s="24"/>
      <c r="F62" s="19"/>
      <c r="G62" s="19">
        <f ca="1">ROUND(G93,2)</f>
        <v>3317.95</v>
      </c>
      <c r="H62" s="20">
        <f ca="1">SUM(D62:G62)</f>
        <v>3317.95</v>
      </c>
      <c r="I62" s="26"/>
      <c r="J62" s="26"/>
      <c r="K62" s="26"/>
      <c r="L62" s="26"/>
      <c r="M62" s="26">
        <f ca="1">$H62*3.75/17</f>
        <v>731.900735294118</v>
      </c>
      <c r="N62" s="26">
        <f ca="1">$H62*4.25/17</f>
        <v>829.4875</v>
      </c>
      <c r="O62" s="26">
        <f ca="1">$H62*4/17</f>
        <v>780.694117647059</v>
      </c>
      <c r="P62" s="26">
        <f ca="1">H62-I62-J62-K62-L62-M62-N62-O62</f>
        <v>975.867647058824</v>
      </c>
      <c r="Q62" s="24">
        <f ca="1">SUM(I62:P62)</f>
        <v>3317.95</v>
      </c>
      <c r="R62" s="32">
        <f ca="1">Q62-H62</f>
        <v>0</v>
      </c>
      <c r="S62" s="11">
        <v>53</v>
      </c>
      <c r="W62" s="11">
        <v>5</v>
      </c>
    </row>
    <row r="63" s="10" customFormat="1" ht="16.5" customHeight="1" spans="1:19">
      <c r="A63" s="6"/>
      <c r="B63" s="6"/>
      <c r="C63" s="5" t="s">
        <v>31</v>
      </c>
      <c r="D63" s="22">
        <f ca="1" t="shared" ref="D63:H63" si="83">SUM(D59:D62)</f>
        <v>877570.32</v>
      </c>
      <c r="E63" s="22">
        <f ca="1">SUM(E59:E62)</f>
        <v>1389113.24</v>
      </c>
      <c r="F63" s="22">
        <f ca="1">SUM(F59:F62)</f>
        <v>204348.44</v>
      </c>
      <c r="G63" s="22">
        <f ca="1">SUM(G59:G62)</f>
        <v>3317.95</v>
      </c>
      <c r="H63" s="23">
        <f ca="1">SUM(H59:H62)</f>
        <v>2474349.95</v>
      </c>
      <c r="I63" s="26"/>
      <c r="J63" s="26"/>
      <c r="K63" s="26"/>
      <c r="L63" s="26"/>
      <c r="M63" s="26"/>
      <c r="N63" s="26"/>
      <c r="O63" s="26"/>
      <c r="P63" s="26"/>
      <c r="Q63" s="24">
        <f>SUM(I63:P63)</f>
        <v>0</v>
      </c>
      <c r="R63" s="32">
        <f ca="1">Q63-H63</f>
        <v>-2474349.95</v>
      </c>
      <c r="S63" s="11">
        <v>54</v>
      </c>
    </row>
    <row r="64" s="10" customFormat="1" ht="16.5" customHeight="1" spans="1:19">
      <c r="A64" s="6"/>
      <c r="B64" s="6"/>
      <c r="C64" s="5" t="s">
        <v>32</v>
      </c>
      <c r="D64" s="22">
        <f ca="1" t="shared" ref="D64:H64" si="84">D63+D58</f>
        <v>8822328.86</v>
      </c>
      <c r="E64" s="22">
        <f ca="1">E63+E58</f>
        <v>13892077.85</v>
      </c>
      <c r="F64" s="22">
        <f ca="1">F63+F58</f>
        <v>2055864.53</v>
      </c>
      <c r="G64" s="22">
        <f ca="1">G63+G58</f>
        <v>34018.43</v>
      </c>
      <c r="H64" s="23">
        <f ca="1">H63+H58</f>
        <v>24804289.67</v>
      </c>
      <c r="I64" s="26"/>
      <c r="J64" s="26"/>
      <c r="K64" s="26"/>
      <c r="L64" s="26"/>
      <c r="M64" s="26"/>
      <c r="N64" s="26"/>
      <c r="O64" s="26"/>
      <c r="P64" s="26"/>
      <c r="Q64" s="24">
        <f>SUM(I64:P64)</f>
        <v>0</v>
      </c>
      <c r="R64" s="32">
        <f ca="1">Q64-H64</f>
        <v>-24804289.67</v>
      </c>
      <c r="S64" s="11">
        <v>55</v>
      </c>
    </row>
    <row r="65" ht="16.5" customHeight="1" spans="1:21">
      <c r="A65" s="6">
        <v>11</v>
      </c>
      <c r="B65" s="6">
        <v>24</v>
      </c>
      <c r="C65" s="18" t="s">
        <v>27</v>
      </c>
      <c r="D65" s="19">
        <f ca="1">ROUND(D94,2)</f>
        <v>891839.48</v>
      </c>
      <c r="E65" s="19"/>
      <c r="F65" s="19"/>
      <c r="G65" s="19"/>
      <c r="H65" s="20">
        <f ca="1" t="shared" ref="H65:H68" si="85">SUM(D65:G65)</f>
        <v>891839.48</v>
      </c>
      <c r="I65" s="26"/>
      <c r="J65" s="26"/>
      <c r="K65" s="26"/>
      <c r="L65" s="26"/>
      <c r="M65" s="26"/>
      <c r="N65" s="26"/>
      <c r="O65" s="26">
        <f ca="1" t="shared" ref="O65:O67" si="86">$H65*12/21</f>
        <v>509622.56</v>
      </c>
      <c r="P65" s="26">
        <f ca="1" t="shared" ref="P65:P67" si="87">H65-I65-J65-K65-L65-M65-N65-O65</f>
        <v>382216.92</v>
      </c>
      <c r="Q65" s="24">
        <f ca="1">SUM(I65:P65)</f>
        <v>891839.48</v>
      </c>
      <c r="R65" s="32">
        <f ca="1">Q65-H65</f>
        <v>0</v>
      </c>
      <c r="S65" s="11">
        <v>56</v>
      </c>
      <c r="U65" s="11">
        <v>11</v>
      </c>
    </row>
    <row r="66" ht="16.5" customHeight="1" spans="1:20">
      <c r="A66" s="6">
        <v>11</v>
      </c>
      <c r="B66" s="6">
        <v>70</v>
      </c>
      <c r="C66" s="18" t="s">
        <v>28</v>
      </c>
      <c r="D66" s="19"/>
      <c r="E66" s="19">
        <f ca="1">ROUND(E94,2)</f>
        <v>1424452.21</v>
      </c>
      <c r="F66" s="19"/>
      <c r="G66" s="19"/>
      <c r="H66" s="20">
        <f ca="1">SUM(D66:G66)</f>
        <v>1424452.21</v>
      </c>
      <c r="I66" s="26"/>
      <c r="J66" s="26"/>
      <c r="K66" s="26"/>
      <c r="L66" s="26"/>
      <c r="M66" s="26"/>
      <c r="N66" s="26"/>
      <c r="O66" s="26">
        <f ca="1">$H66*12/21</f>
        <v>813972.691428571</v>
      </c>
      <c r="P66" s="26">
        <f ca="1">H66-I66-J66-K66-L66-M66-N66-O66</f>
        <v>610479.518571429</v>
      </c>
      <c r="Q66" s="24">
        <f ca="1">SUM(I66:P66)</f>
        <v>1424452.21</v>
      </c>
      <c r="R66" s="32">
        <f ca="1">Q66-H66</f>
        <v>0</v>
      </c>
      <c r="S66" s="11">
        <v>57</v>
      </c>
      <c r="T66" s="11">
        <v>11</v>
      </c>
    </row>
    <row r="67" ht="16.5" customHeight="1" spans="1:22">
      <c r="A67" s="6">
        <v>11</v>
      </c>
      <c r="B67" s="6">
        <v>33</v>
      </c>
      <c r="C67" s="18" t="s">
        <v>29</v>
      </c>
      <c r="D67" s="19"/>
      <c r="E67" s="19"/>
      <c r="F67" s="19">
        <f ca="1">ROUND(F94,2)</f>
        <v>215466.91</v>
      </c>
      <c r="G67" s="19"/>
      <c r="H67" s="20">
        <f ca="1">SUM(D67:G67)</f>
        <v>215466.91</v>
      </c>
      <c r="I67" s="26"/>
      <c r="J67" s="26"/>
      <c r="K67" s="26"/>
      <c r="L67" s="26"/>
      <c r="M67" s="26"/>
      <c r="N67" s="26"/>
      <c r="O67" s="26">
        <f ca="1">$H67*12/21</f>
        <v>123123.948571429</v>
      </c>
      <c r="P67" s="26">
        <f ca="1">H67-I67-J67-K67-L67-M67-N67-O67</f>
        <v>92342.9614285714</v>
      </c>
      <c r="Q67" s="24">
        <f ca="1">SUM(I67:P67)</f>
        <v>215466.91</v>
      </c>
      <c r="R67" s="32">
        <f ca="1">Q67-H67</f>
        <v>0</v>
      </c>
      <c r="S67" s="11">
        <v>58</v>
      </c>
      <c r="V67" s="11">
        <v>11</v>
      </c>
    </row>
    <row r="68" ht="16.5" customHeight="1" spans="1:18">
      <c r="A68" s="6"/>
      <c r="B68" s="6"/>
      <c r="C68" s="18" t="s">
        <v>30</v>
      </c>
      <c r="D68" s="19"/>
      <c r="E68" s="19"/>
      <c r="F68" s="19"/>
      <c r="G68" s="19">
        <f ca="1">ROUND(G94,2)</f>
        <v>3475.7</v>
      </c>
      <c r="H68" s="20">
        <f ca="1">SUM(D68:G68)</f>
        <v>3475.7</v>
      </c>
      <c r="I68" s="26"/>
      <c r="J68" s="26"/>
      <c r="K68" s="26"/>
      <c r="L68" s="26"/>
      <c r="M68" s="26"/>
      <c r="N68" s="26"/>
      <c r="O68" s="26"/>
      <c r="P68" s="26"/>
      <c r="Q68" s="24"/>
      <c r="R68" s="32"/>
    </row>
    <row r="69" s="9" customFormat="1" ht="16.5" customHeight="1" spans="1:23">
      <c r="A69" s="21"/>
      <c r="B69" s="6"/>
      <c r="C69" s="5" t="s">
        <v>31</v>
      </c>
      <c r="D69" s="22">
        <f ca="1" t="shared" ref="D69:H69" si="88">SUM(D65:D68)</f>
        <v>891839.48</v>
      </c>
      <c r="E69" s="22">
        <f ca="1">SUM(E65:E68)</f>
        <v>1424452.21</v>
      </c>
      <c r="F69" s="22">
        <f ca="1">SUM(F65:F68)</f>
        <v>215466.91</v>
      </c>
      <c r="G69" s="22">
        <f ca="1">SUM(G65:G68)</f>
        <v>3475.7</v>
      </c>
      <c r="H69" s="22">
        <f ca="1">SUM(H65:H68)</f>
        <v>2535234.3</v>
      </c>
      <c r="I69" s="26"/>
      <c r="J69" s="26"/>
      <c r="K69" s="26"/>
      <c r="L69" s="26"/>
      <c r="M69" s="26"/>
      <c r="N69" s="26"/>
      <c r="O69" s="26"/>
      <c r="P69" s="26"/>
      <c r="Q69" s="24">
        <f t="shared" ref="Q69:Q75" si="89">SUM(I69:P69)</f>
        <v>0</v>
      </c>
      <c r="R69" s="32">
        <f ca="1" t="shared" ref="R69:R76" si="90">Q69-H69</f>
        <v>-2535234.3</v>
      </c>
      <c r="S69" s="11">
        <v>59</v>
      </c>
      <c r="T69" s="11"/>
      <c r="U69" s="10"/>
      <c r="V69" s="10"/>
      <c r="W69" s="10"/>
    </row>
    <row r="70" s="9" customFormat="1" ht="16.5" customHeight="1" spans="1:23">
      <c r="A70" s="21"/>
      <c r="B70" s="6"/>
      <c r="C70" s="5" t="s">
        <v>32</v>
      </c>
      <c r="D70" s="22">
        <f ca="1" t="shared" ref="D70:H70" si="91">D69+D64</f>
        <v>9714168.34</v>
      </c>
      <c r="E70" s="22">
        <f ca="1">E69+E64</f>
        <v>15316530.06</v>
      </c>
      <c r="F70" s="22">
        <f ca="1">F69+F64</f>
        <v>2271331.44</v>
      </c>
      <c r="G70" s="22">
        <f ca="1">G69+G64</f>
        <v>37494.13</v>
      </c>
      <c r="H70" s="23">
        <f ca="1">H69+H64</f>
        <v>27339523.97</v>
      </c>
      <c r="I70" s="26"/>
      <c r="J70" s="26"/>
      <c r="K70" s="26"/>
      <c r="L70" s="26"/>
      <c r="M70" s="26"/>
      <c r="N70" s="26"/>
      <c r="O70" s="26"/>
      <c r="P70" s="26"/>
      <c r="Q70" s="24">
        <f>SUM(I70:P70)</f>
        <v>0</v>
      </c>
      <c r="R70" s="32">
        <f ca="1">Q70-H70</f>
        <v>-27339523.97</v>
      </c>
      <c r="S70" s="11">
        <v>60</v>
      </c>
      <c r="T70" s="10"/>
      <c r="U70" s="10"/>
      <c r="V70" s="10"/>
      <c r="W70" s="10"/>
    </row>
    <row r="71" ht="16.5" customHeight="1" spans="1:21">
      <c r="A71" s="6">
        <v>12</v>
      </c>
      <c r="B71" s="6">
        <v>30</v>
      </c>
      <c r="C71" s="18" t="s">
        <v>27</v>
      </c>
      <c r="D71" s="19">
        <f ca="1">ROUND(D95,2)</f>
        <v>922818.32</v>
      </c>
      <c r="E71" s="19"/>
      <c r="F71" s="19"/>
      <c r="G71" s="19"/>
      <c r="H71" s="20">
        <f ca="1" t="shared" ref="H71:H74" si="92">SUM(D71:G71)</f>
        <v>922818.32</v>
      </c>
      <c r="I71" s="26"/>
      <c r="J71" s="26"/>
      <c r="K71" s="26"/>
      <c r="L71" s="26"/>
      <c r="M71" s="26"/>
      <c r="N71" s="26"/>
      <c r="O71" s="26">
        <f ca="1" t="shared" ref="O71:O74" si="93">$H71*11/23</f>
        <v>441347.892173913</v>
      </c>
      <c r="P71" s="26">
        <f ca="1" t="shared" ref="P71:P74" si="94">H71-I71-J71-K71-L71-M71-N71-O71</f>
        <v>481470.427826087</v>
      </c>
      <c r="Q71" s="24">
        <f ca="1">SUM(I71:P71)</f>
        <v>922818.32</v>
      </c>
      <c r="R71" s="32">
        <f ca="1">Q71-H71</f>
        <v>0</v>
      </c>
      <c r="S71" s="11">
        <v>61</v>
      </c>
      <c r="U71" s="11">
        <v>12</v>
      </c>
    </row>
    <row r="72" ht="16.5" customHeight="1" spans="1:20">
      <c r="A72" s="6">
        <v>12</v>
      </c>
      <c r="B72" s="6">
        <v>37</v>
      </c>
      <c r="C72" s="18" t="s">
        <v>28</v>
      </c>
      <c r="D72" s="19"/>
      <c r="E72" s="19">
        <f ca="1">ROUND(E95,2)</f>
        <v>1332244.33</v>
      </c>
      <c r="F72" s="19"/>
      <c r="G72" s="19"/>
      <c r="H72" s="20">
        <f ca="1">SUM(D72:G72)</f>
        <v>1332244.33</v>
      </c>
      <c r="I72" s="26"/>
      <c r="J72" s="26"/>
      <c r="K72" s="26"/>
      <c r="L72" s="26"/>
      <c r="M72" s="26"/>
      <c r="N72" s="26"/>
      <c r="O72" s="26">
        <f ca="1">$H72*11/23</f>
        <v>637160.33173913</v>
      </c>
      <c r="P72" s="26">
        <f ca="1">H72-I72-J72-K72-L72-M72-N72-O72</f>
        <v>695083.99826087</v>
      </c>
      <c r="Q72" s="24">
        <f ca="1">SUM(I72:P72)</f>
        <v>1332244.33</v>
      </c>
      <c r="R72" s="32">
        <f ca="1">Q72-H72</f>
        <v>0</v>
      </c>
      <c r="S72" s="11">
        <v>62</v>
      </c>
      <c r="T72" s="11">
        <v>12</v>
      </c>
    </row>
    <row r="73" ht="16.5" customHeight="1" spans="1:22">
      <c r="A73" s="6">
        <v>12</v>
      </c>
      <c r="B73" s="6">
        <v>86</v>
      </c>
      <c r="C73" s="18" t="s">
        <v>29</v>
      </c>
      <c r="D73" s="19"/>
      <c r="E73" s="19"/>
      <c r="F73" s="19">
        <f ca="1">ROUND(F95,2)</f>
        <v>226082.59</v>
      </c>
      <c r="G73" s="19"/>
      <c r="H73" s="20">
        <f ca="1">SUM(D73:G73)</f>
        <v>226082.59</v>
      </c>
      <c r="I73" s="26"/>
      <c r="J73" s="26"/>
      <c r="K73" s="26"/>
      <c r="L73" s="26"/>
      <c r="M73" s="26"/>
      <c r="N73" s="26"/>
      <c r="O73" s="26">
        <f ca="1">$H73*11/23</f>
        <v>108126.456086957</v>
      </c>
      <c r="P73" s="26">
        <f ca="1">H73-I73-J73-K73-L73-M73-N73-O73</f>
        <v>117956.133913043</v>
      </c>
      <c r="Q73" s="24">
        <f ca="1">SUM(I73:P73)</f>
        <v>226082.59</v>
      </c>
      <c r="R73" s="32">
        <f ca="1">Q73-H73</f>
        <v>0</v>
      </c>
      <c r="S73" s="11">
        <v>63</v>
      </c>
      <c r="V73" s="11">
        <v>12</v>
      </c>
    </row>
    <row r="74" ht="16.5" customHeight="1" spans="1:23">
      <c r="A74" s="6">
        <v>12</v>
      </c>
      <c r="B74" s="6">
        <v>57</v>
      </c>
      <c r="C74" s="18" t="s">
        <v>30</v>
      </c>
      <c r="D74" s="19"/>
      <c r="E74" s="19"/>
      <c r="F74" s="19"/>
      <c r="G74" s="19">
        <f ca="1">ROUND(G95,2)</f>
        <v>3330.75</v>
      </c>
      <c r="H74" s="20">
        <f ca="1">SUM(D74:G74)</f>
        <v>3330.75</v>
      </c>
      <c r="I74" s="26"/>
      <c r="J74" s="26"/>
      <c r="K74" s="26"/>
      <c r="L74" s="26"/>
      <c r="M74" s="26"/>
      <c r="N74" s="26"/>
      <c r="O74" s="26">
        <f ca="1">$H74*11/23</f>
        <v>1592.96739130435</v>
      </c>
      <c r="P74" s="26">
        <f ca="1">H74-I74-J74-K74-L74-M74-N74-O74</f>
        <v>1737.78260869565</v>
      </c>
      <c r="Q74" s="24">
        <f ca="1">SUM(I74:P74)</f>
        <v>3330.75</v>
      </c>
      <c r="R74" s="32">
        <f ca="1">Q74-H74</f>
        <v>0</v>
      </c>
      <c r="S74" s="11">
        <v>64</v>
      </c>
      <c r="W74" s="11">
        <v>6</v>
      </c>
    </row>
    <row r="75" ht="16.5" customHeight="1" spans="1:19">
      <c r="A75" s="6"/>
      <c r="B75" s="6"/>
      <c r="C75" s="5" t="s">
        <v>31</v>
      </c>
      <c r="D75" s="22">
        <f ca="1" t="shared" ref="D75:H75" si="95">SUM(D71:D74)</f>
        <v>922818.32</v>
      </c>
      <c r="E75" s="22">
        <f ca="1">SUM(E71:E74)</f>
        <v>1332244.33</v>
      </c>
      <c r="F75" s="22">
        <f ca="1">SUM(F71:F74)</f>
        <v>226082.59</v>
      </c>
      <c r="G75" s="22">
        <f ca="1">SUM(G71:G74)</f>
        <v>3330.75</v>
      </c>
      <c r="H75" s="23">
        <f ca="1">SUM(H71:H74)</f>
        <v>2484475.99</v>
      </c>
      <c r="I75" s="26"/>
      <c r="J75" s="26"/>
      <c r="K75" s="26"/>
      <c r="L75" s="26"/>
      <c r="M75" s="26"/>
      <c r="N75" s="26"/>
      <c r="O75" s="26"/>
      <c r="P75" s="26"/>
      <c r="Q75" s="24">
        <f>SUM(I75:P75)</f>
        <v>0</v>
      </c>
      <c r="R75" s="32">
        <f ca="1">Q75-H75</f>
        <v>-2484475.99</v>
      </c>
      <c r="S75" s="11">
        <v>65</v>
      </c>
    </row>
    <row r="76" ht="16.5" customHeight="1" spans="1:19">
      <c r="A76" s="6"/>
      <c r="B76" s="6"/>
      <c r="C76" s="22" t="s">
        <v>32</v>
      </c>
      <c r="D76" s="22">
        <f ca="1" t="shared" ref="D76:H76" si="96">D75+D70</f>
        <v>10636986.66</v>
      </c>
      <c r="E76" s="22">
        <f ca="1">E75+E70</f>
        <v>16648774.39</v>
      </c>
      <c r="F76" s="22">
        <f ca="1">F75+F70</f>
        <v>2497414.03</v>
      </c>
      <c r="G76" s="22">
        <f ca="1">G75+G70</f>
        <v>40824.88</v>
      </c>
      <c r="H76" s="23">
        <f ca="1">H75+H70</f>
        <v>29823999.96</v>
      </c>
      <c r="I76" s="23">
        <f ca="1" t="shared" ref="I76:Q76" si="97">SUM(I4:I75)</f>
        <v>4743673.71962748</v>
      </c>
      <c r="J76" s="23">
        <f ca="1">SUM(J4:J75)</f>
        <v>4263952.63990317</v>
      </c>
      <c r="K76" s="23">
        <f ca="1">SUM(K4:K75)</f>
        <v>2875040.51342675</v>
      </c>
      <c r="L76" s="23">
        <f ca="1">SUM(L4:L75)</f>
        <v>2853883.97008772</v>
      </c>
      <c r="M76" s="23">
        <f ca="1">SUM(M4:M75)</f>
        <v>3121194.01963611</v>
      </c>
      <c r="N76" s="23">
        <f ca="1">SUM(N4:N75)</f>
        <v>2961774.72636183</v>
      </c>
      <c r="O76" s="23">
        <f ca="1">SUM(O4:O75)</f>
        <v>4646093.74994855</v>
      </c>
      <c r="P76" s="23">
        <f ca="1">SUM(P4:P75)</f>
        <v>4337761.9410084</v>
      </c>
      <c r="Q76" s="23">
        <f ca="1">SUM(Q4:Q75)</f>
        <v>29803375.28</v>
      </c>
      <c r="R76" s="32">
        <f ca="1">Q76-H76</f>
        <v>-20624.6800000034</v>
      </c>
      <c r="S76" s="11">
        <v>66</v>
      </c>
    </row>
    <row r="77" spans="1:18">
      <c r="A77" s="33"/>
      <c r="B77" s="33"/>
      <c r="C77" s="34"/>
      <c r="D77" s="35">
        <f ca="1" t="shared" ref="D77:G77" si="98">D76/$H$76</f>
        <v>0.356658619711184</v>
      </c>
      <c r="E77" s="35">
        <f ca="1">E76/$H$76</f>
        <v>0.558234120585078</v>
      </c>
      <c r="F77" s="35">
        <f ca="1">F76/$H$76</f>
        <v>0.0837383997233616</v>
      </c>
      <c r="G77" s="35">
        <f ca="1">G76/$H$76</f>
        <v>0.00136885998037669</v>
      </c>
      <c r="H77" s="33"/>
      <c r="I77" s="44"/>
      <c r="J77" s="44"/>
      <c r="K77" s="44"/>
      <c r="L77" s="44"/>
      <c r="M77" s="44"/>
      <c r="N77" s="44"/>
      <c r="O77" s="44"/>
      <c r="P77" s="44"/>
      <c r="Q77" s="33"/>
      <c r="R77" s="32"/>
    </row>
    <row r="78" spans="1:18">
      <c r="A78" s="33"/>
      <c r="B78" s="33"/>
      <c r="C78" s="34"/>
      <c r="D78" s="33"/>
      <c r="E78" s="33"/>
      <c r="F78" s="33"/>
      <c r="G78" s="16" t="s">
        <v>56</v>
      </c>
      <c r="H78" s="36"/>
      <c r="I78" s="45"/>
      <c r="J78" s="45"/>
      <c r="K78" s="45"/>
      <c r="L78" s="45"/>
      <c r="M78" s="45"/>
      <c r="N78" s="45"/>
      <c r="O78" s="45"/>
      <c r="P78" s="45"/>
      <c r="Q78" s="37"/>
      <c r="R78" s="32"/>
    </row>
    <row r="79" spans="1:18">
      <c r="A79" s="33"/>
      <c r="B79" s="33"/>
      <c r="C79" s="34"/>
      <c r="D79" s="33"/>
      <c r="E79" s="33"/>
      <c r="F79" s="33"/>
      <c r="G79" s="33"/>
      <c r="H79" s="37"/>
      <c r="I79" s="45"/>
      <c r="J79" s="45"/>
      <c r="K79" s="45"/>
      <c r="L79" s="45"/>
      <c r="M79" s="45"/>
      <c r="N79" s="45"/>
      <c r="O79" s="45"/>
      <c r="P79" s="45"/>
      <c r="Q79" s="37"/>
      <c r="R79" s="37"/>
    </row>
    <row r="80" spans="1:18">
      <c r="A80" s="33"/>
      <c r="B80" s="33"/>
      <c r="C80" s="34"/>
      <c r="D80" s="33">
        <v>1</v>
      </c>
      <c r="E80" s="33">
        <v>2</v>
      </c>
      <c r="F80" s="33">
        <v>3</v>
      </c>
      <c r="G80" s="16" t="s">
        <v>57</v>
      </c>
      <c r="H80" s="36">
        <v>29824000</v>
      </c>
      <c r="I80" s="45">
        <f ca="1" t="shared" ref="I80:Q80" si="99">SUBTOTAL(9,I5:I74)</f>
        <v>4743673.71962748</v>
      </c>
      <c r="J80" s="45">
        <f ca="1">SUBTOTAL(9,J5:J74)</f>
        <v>4263952.63990317</v>
      </c>
      <c r="K80" s="45">
        <f ca="1">SUBTOTAL(9,K5:K74)</f>
        <v>2875040.51342675</v>
      </c>
      <c r="L80" s="45">
        <f ca="1">SUBTOTAL(9,L5:L74)</f>
        <v>2853883.97008772</v>
      </c>
      <c r="M80" s="45">
        <f ca="1">SUBTOTAL(9,M5:M74)</f>
        <v>3121194.01963611</v>
      </c>
      <c r="N80" s="45">
        <f ca="1">SUBTOTAL(9,N5:N74)</f>
        <v>2961774.72636183</v>
      </c>
      <c r="O80" s="45">
        <f ca="1">SUBTOTAL(9,O5:O74)</f>
        <v>4646093.74994855</v>
      </c>
      <c r="P80" s="45">
        <f ca="1">SUBTOTAL(9,P5:P74)</f>
        <v>4337761.9410084</v>
      </c>
      <c r="Q80" s="45">
        <f ca="1">SUBTOTAL(9,Q5:Q74)</f>
        <v>29803375.28</v>
      </c>
      <c r="R80" s="45"/>
    </row>
    <row r="81" spans="1:18">
      <c r="A81" s="33"/>
      <c r="B81" s="33"/>
      <c r="C81" s="34"/>
      <c r="D81" s="33"/>
      <c r="E81" s="33"/>
      <c r="F81" s="33"/>
      <c r="G81" s="16" t="s">
        <v>58</v>
      </c>
      <c r="H81" s="36">
        <f ca="1">H80-H76</f>
        <v>0.0399999991059303</v>
      </c>
      <c r="I81" s="45"/>
      <c r="J81" s="45"/>
      <c r="K81" s="45"/>
      <c r="L81" s="45"/>
      <c r="M81" s="45"/>
      <c r="N81" s="45"/>
      <c r="O81" s="45"/>
      <c r="P81" s="45"/>
      <c r="Q81" s="37"/>
      <c r="R81" s="37"/>
    </row>
    <row r="82" spans="1:18">
      <c r="A82" s="33"/>
      <c r="B82" s="33"/>
      <c r="C82" s="34"/>
      <c r="D82" s="33"/>
      <c r="E82" s="33"/>
      <c r="F82" s="33"/>
      <c r="G82" s="33"/>
      <c r="H82" s="37"/>
      <c r="I82" s="45"/>
      <c r="J82" s="45"/>
      <c r="K82" s="45"/>
      <c r="L82" s="45"/>
      <c r="M82" s="45"/>
      <c r="N82" s="45"/>
      <c r="O82" s="45"/>
      <c r="P82" s="45"/>
      <c r="Q82" s="37"/>
      <c r="R82" s="37"/>
    </row>
    <row r="83" spans="1:18">
      <c r="A83" s="33"/>
      <c r="B83" s="33"/>
      <c r="C83" s="34"/>
      <c r="D83" s="38">
        <f ca="1">RANDBETWEEN(30000000,40000000)*0.00000001*$H$80</f>
        <v>10636986.68288</v>
      </c>
      <c r="E83" s="38">
        <f ca="1">H80-D83-F83-G83</f>
        <v>16648774.39488</v>
      </c>
      <c r="F83" s="38">
        <f ca="1">RANDBETWEEN(8000000,12000000)*0.00000001*$H$80</f>
        <v>2497414.0416</v>
      </c>
      <c r="G83" s="38">
        <f ca="1">RANDBETWEEN(100000,400000)*0.00000001*$H$80</f>
        <v>40824.88064</v>
      </c>
      <c r="H83" s="39">
        <f ca="1">SUBTOTAL(9,H5:H74)</f>
        <v>220550860.06</v>
      </c>
      <c r="Q83" s="14"/>
      <c r="R83" s="14"/>
    </row>
    <row r="84" spans="1:18">
      <c r="A84" s="33"/>
      <c r="B84" s="33"/>
      <c r="C84" s="34">
        <v>1</v>
      </c>
      <c r="D84" s="38">
        <f ca="1" t="shared" ref="D84:G84" si="100">RANDBETWEEN(95000000,105000000)*0.00000001*D$83/12</f>
        <v>869107.894271063</v>
      </c>
      <c r="E84" s="38">
        <f ca="1">RANDBETWEEN(95000000,105000000)*0.00000001*E$83/12</f>
        <v>1370437.07993898</v>
      </c>
      <c r="F84" s="38">
        <f ca="1">RANDBETWEEN(95000000,105000000)*0.00000001*F$83/12</f>
        <v>206007.859085744</v>
      </c>
      <c r="G84" s="38">
        <f ca="1">RANDBETWEEN(95000000,105000000)*0.00000001*G$83/12</f>
        <v>3508.54413104405</v>
      </c>
      <c r="H84" s="14"/>
      <c r="Q84" s="14"/>
      <c r="R84" s="14"/>
    </row>
    <row r="85" spans="1:18">
      <c r="A85" s="33"/>
      <c r="B85" s="33"/>
      <c r="C85" s="34">
        <v>2</v>
      </c>
      <c r="D85" s="38">
        <f ca="1" t="shared" ref="D85:G85" si="101">RANDBETWEEN(95000000,105000000)*0.00000001*D$83/12</f>
        <v>882320.884339714</v>
      </c>
      <c r="E85" s="38">
        <f ca="1">RANDBETWEEN(95000000,105000000)*0.00000001*E$83/12</f>
        <v>1380136.60040552</v>
      </c>
      <c r="F85" s="38">
        <f ca="1">RANDBETWEEN(95000000,105000000)*0.00000001*F$83/12</f>
        <v>202736.098927584</v>
      </c>
      <c r="G85" s="38">
        <f ca="1">RANDBETWEEN(95000000,105000000)*0.00000001*G$83/12</f>
        <v>3510.18355618834</v>
      </c>
      <c r="H85" s="14"/>
      <c r="Q85" s="14"/>
      <c r="R85" s="14"/>
    </row>
    <row r="86" spans="1:18">
      <c r="A86" s="33"/>
      <c r="B86" s="33"/>
      <c r="C86" s="34">
        <v>3</v>
      </c>
      <c r="D86" s="38">
        <f ca="1" t="shared" ref="D86:G86" si="102">RANDBETWEEN(95000000,105000000)*0.00000001*D$83/12</f>
        <v>884226.447319019</v>
      </c>
      <c r="E86" s="38">
        <f ca="1">RANDBETWEEN(95000000,105000000)*0.00000001*E$83/12</f>
        <v>1366139.40693862</v>
      </c>
      <c r="F86" s="38">
        <f ca="1">RANDBETWEEN(95000000,105000000)*0.00000001*F$83/12</f>
        <v>199985.921610833</v>
      </c>
      <c r="G86" s="38">
        <f ca="1">RANDBETWEEN(95000000,105000000)*0.00000001*G$83/12</f>
        <v>3388.71303622842</v>
      </c>
      <c r="H86" s="40"/>
      <c r="Q86" s="14"/>
      <c r="R86" s="14"/>
    </row>
    <row r="87" spans="3:18">
      <c r="C87" s="34">
        <v>4</v>
      </c>
      <c r="D87" s="38">
        <f ca="1" t="shared" ref="D87:G87" si="103">RANDBETWEEN(95000000,105000000)*0.00000001*D$83/12</f>
        <v>884011.792927758</v>
      </c>
      <c r="E87" s="38">
        <f ca="1">RANDBETWEEN(95000000,105000000)*0.00000001*E$83/12</f>
        <v>1370689.01751751</v>
      </c>
      <c r="F87" s="38">
        <f ca="1">RANDBETWEEN(95000000,105000000)*0.00000001*F$83/12</f>
        <v>208289.783756764</v>
      </c>
      <c r="G87" s="38">
        <f ca="1">RANDBETWEEN(95000000,105000000)*0.00000001*G$83/12</f>
        <v>3553.8609052594</v>
      </c>
      <c r="H87" s="41"/>
      <c r="I87" s="46"/>
      <c r="J87" s="46"/>
      <c r="K87" s="46"/>
      <c r="L87" s="46"/>
      <c r="M87" s="46"/>
      <c r="N87" s="46"/>
      <c r="O87" s="46"/>
      <c r="P87" s="46"/>
      <c r="Q87" s="41"/>
      <c r="R87" s="41"/>
    </row>
    <row r="88" spans="3:7">
      <c r="C88" s="34">
        <v>5</v>
      </c>
      <c r="D88" s="38">
        <f ca="1" t="shared" ref="D88:G88" si="104">RANDBETWEEN(95000000,105000000)*0.00000001*D$83/12</f>
        <v>872567.33485747</v>
      </c>
      <c r="E88" s="38">
        <f ca="1">RANDBETWEEN(95000000,105000000)*0.00000001*E$83/12</f>
        <v>1442911.81706186</v>
      </c>
      <c r="F88" s="38">
        <f ca="1">RANDBETWEEN(95000000,105000000)*0.00000001*F$83/12</f>
        <v>200722.242517432</v>
      </c>
      <c r="G88" s="38">
        <f ca="1">RANDBETWEEN(95000000,105000000)*0.00000001*G$83/12</f>
        <v>3478.49674672713</v>
      </c>
    </row>
    <row r="89" spans="3:7">
      <c r="C89" s="34">
        <v>6</v>
      </c>
      <c r="D89" s="38">
        <f ca="1" t="shared" ref="D89:G89" si="105">RANDBETWEEN(95000000,105000000)*0.00000001*D$83/12</f>
        <v>890542.459543268</v>
      </c>
      <c r="E89" s="38">
        <f ca="1">RANDBETWEEN(95000000,105000000)*0.00000001*E$83/12</f>
        <v>1338018.07310006</v>
      </c>
      <c r="F89" s="38">
        <f ca="1">RANDBETWEEN(95000000,105000000)*0.00000001*F$83/12</f>
        <v>208381.162055368</v>
      </c>
      <c r="G89" s="38">
        <f ca="1">RANDBETWEEN(95000000,105000000)*0.00000001*G$83/12</f>
        <v>3288.03149807093</v>
      </c>
    </row>
    <row r="90" spans="3:7">
      <c r="C90" s="34">
        <v>7</v>
      </c>
      <c r="D90" s="38">
        <f ca="1" t="shared" ref="D90:G90" si="106">RANDBETWEEN(95000000,105000000)*0.00000001*D$83/12</f>
        <v>899098.683212021</v>
      </c>
      <c r="E90" s="38">
        <f ca="1">RANDBETWEEN(95000000,105000000)*0.00000001*E$83/12</f>
        <v>1421039.21222101</v>
      </c>
      <c r="F90" s="38">
        <f ca="1">RANDBETWEEN(95000000,105000000)*0.00000001*F$83/12</f>
        <v>207413.024933893</v>
      </c>
      <c r="G90" s="38">
        <f ca="1">RANDBETWEEN(95000000,105000000)*0.00000001*G$83/12</f>
        <v>3321.02004287208</v>
      </c>
    </row>
    <row r="91" spans="3:7">
      <c r="C91" s="34">
        <v>8</v>
      </c>
      <c r="D91" s="38">
        <f ca="1" t="shared" ref="D91:G91" si="107">RANDBETWEEN(95000000,105000000)*0.00000001*D$83/12</f>
        <v>917854.952743188</v>
      </c>
      <c r="E91" s="38">
        <f ca="1">RANDBETWEEN(95000000,105000000)*0.00000001*E$83/12</f>
        <v>1389537.96907061</v>
      </c>
      <c r="F91" s="38">
        <f ca="1">RANDBETWEEN(95000000,105000000)*0.00000001*F$83/12</f>
        <v>213136.390316595</v>
      </c>
      <c r="G91" s="38">
        <f ca="1">RANDBETWEEN(95000000,105000000)*0.00000001*G$83/12</f>
        <v>3318.40541339149</v>
      </c>
    </row>
    <row r="92" spans="3:8">
      <c r="C92" s="34">
        <v>9</v>
      </c>
      <c r="D92" s="38">
        <f ca="1" t="shared" ref="D92:G92" si="108">RANDBETWEEN(95000000,105000000)*0.00000001*D$83/12</f>
        <v>845028.114286404</v>
      </c>
      <c r="E92" s="38">
        <f ca="1">RANDBETWEEN(95000000,105000000)*0.00000001*E$83/12</f>
        <v>1424055.4290562</v>
      </c>
      <c r="F92" s="38">
        <f ca="1">RANDBETWEEN(95000000,105000000)*0.00000001*F$83/12</f>
        <v>204843.622932544</v>
      </c>
      <c r="G92" s="38">
        <f ca="1">RANDBETWEEN(95000000,105000000)*0.00000001*G$83/12</f>
        <v>3333.22555949923</v>
      </c>
      <c r="H92" s="42"/>
    </row>
    <row r="93" spans="3:7">
      <c r="C93" s="34">
        <v>10</v>
      </c>
      <c r="D93" s="38">
        <f ca="1" t="shared" ref="D93:G93" si="109">RANDBETWEEN(95000000,105000000)*0.00000001*D$83/12</f>
        <v>877570.317445584</v>
      </c>
      <c r="E93" s="38">
        <f ca="1">RANDBETWEEN(95000000,105000000)*0.00000001*E$83/12</f>
        <v>1389113.24496182</v>
      </c>
      <c r="F93" s="38">
        <f ca="1">RANDBETWEEN(95000000,105000000)*0.00000001*F$83/12</f>
        <v>204348.435676376</v>
      </c>
      <c r="G93" s="38">
        <f ca="1">RANDBETWEEN(95000000,105000000)*0.00000001*G$83/12</f>
        <v>3317.94970566135</v>
      </c>
    </row>
    <row r="94" spans="3:7">
      <c r="C94" s="34">
        <v>11</v>
      </c>
      <c r="D94" s="38">
        <f ca="1" t="shared" ref="D94:G94" si="110">RANDBETWEEN(95000000,105000000)*0.00000001*D$83/12</f>
        <v>891839.480514445</v>
      </c>
      <c r="E94" s="38">
        <f ca="1">RANDBETWEEN(95000000,105000000)*0.00000001*E$83/12</f>
        <v>1424452.21097196</v>
      </c>
      <c r="F94" s="38">
        <f ca="1">RANDBETWEEN(95000000,105000000)*0.00000001*F$83/12</f>
        <v>215466.912583687</v>
      </c>
      <c r="G94" s="38">
        <f ca="1">RANDBETWEEN(95000000,105000000)*0.00000001*G$83/12</f>
        <v>3475.69762280679</v>
      </c>
    </row>
    <row r="95" spans="3:7">
      <c r="C95" s="34">
        <v>12</v>
      </c>
      <c r="D95" s="38">
        <f ca="1" t="shared" ref="D95:G95" si="111">D83-D84-D85-D86-D87-D88-D89-D90-D91-D92-D93-D94</f>
        <v>922818.321420066</v>
      </c>
      <c r="E95" s="38">
        <f ca="1">E83-E84-E85-E86-E87-E88-E89-E90-E91-E92-E93-E94</f>
        <v>1332244.33363583</v>
      </c>
      <c r="F95" s="38">
        <f ca="1">F83-F84-F85-F86-F87-F88-F89-F90-F91-F92-F93-F94</f>
        <v>226082.587203181</v>
      </c>
      <c r="G95" s="38">
        <f ca="1">G83-G84-G85-G86-G87-G88-G89-G90-G91-G92-G93-G94</f>
        <v>3330.75242225079</v>
      </c>
    </row>
    <row r="98" spans="4:7">
      <c r="D98" s="43">
        <v>5431674.41</v>
      </c>
      <c r="E98" s="43">
        <v>10332960.06</v>
      </c>
      <c r="F98" s="43">
        <v>1494308.5</v>
      </c>
      <c r="G98" s="43">
        <v>37057.03</v>
      </c>
    </row>
    <row r="99" spans="4:7">
      <c r="D99" s="43">
        <v>457393.69</v>
      </c>
      <c r="E99" s="43">
        <v>862421.7</v>
      </c>
      <c r="F99" s="43">
        <v>129128.92</v>
      </c>
      <c r="G99" s="38">
        <v>6345.73</v>
      </c>
    </row>
    <row r="100" spans="4:7">
      <c r="D100" s="43">
        <v>444805.13</v>
      </c>
      <c r="E100" s="43">
        <v>850237.3</v>
      </c>
      <c r="F100" s="43">
        <v>120609.58</v>
      </c>
      <c r="G100" s="38">
        <v>6394.63</v>
      </c>
    </row>
    <row r="101" spans="4:7">
      <c r="D101" s="43">
        <v>457733.34</v>
      </c>
      <c r="E101" s="43">
        <v>861872.38</v>
      </c>
      <c r="F101" s="43">
        <v>128787.47</v>
      </c>
      <c r="G101" s="38">
        <v>6141.61</v>
      </c>
    </row>
    <row r="102" spans="4:7">
      <c r="D102" s="43">
        <v>462128.19</v>
      </c>
      <c r="E102" s="43">
        <v>866225.57</v>
      </c>
      <c r="F102" s="43">
        <v>118634.51</v>
      </c>
      <c r="G102" s="38">
        <v>5973.8</v>
      </c>
    </row>
    <row r="103" spans="4:7">
      <c r="D103" s="43">
        <v>451363.62</v>
      </c>
      <c r="E103" s="43">
        <v>836138.19</v>
      </c>
      <c r="F103" s="43">
        <v>129456</v>
      </c>
      <c r="G103" s="38">
        <v>5904.01</v>
      </c>
    </row>
    <row r="104" spans="4:7">
      <c r="D104" s="43">
        <v>438150.3</v>
      </c>
      <c r="E104" s="43">
        <v>852222.84</v>
      </c>
      <c r="F104" s="43">
        <v>119834.93</v>
      </c>
      <c r="G104" s="43">
        <v>6297.25</v>
      </c>
    </row>
    <row r="105" spans="4:7">
      <c r="D105" s="43">
        <v>458867.17</v>
      </c>
      <c r="E105" s="43">
        <v>851327.14</v>
      </c>
      <c r="F105" s="43">
        <v>122154.32</v>
      </c>
      <c r="G105" s="43"/>
    </row>
    <row r="106" spans="4:7">
      <c r="D106" s="43">
        <v>445055.46</v>
      </c>
      <c r="E106" s="43">
        <v>882586.37</v>
      </c>
      <c r="F106" s="43">
        <v>129405.93</v>
      </c>
      <c r="G106" s="43"/>
    </row>
    <row r="107" spans="4:7">
      <c r="D107" s="43">
        <v>453312.49</v>
      </c>
      <c r="E107" s="43">
        <v>878933.68</v>
      </c>
      <c r="F107" s="43">
        <v>121026.6</v>
      </c>
      <c r="G107" s="43"/>
    </row>
    <row r="108" spans="4:7">
      <c r="D108" s="43">
        <v>445836.92</v>
      </c>
      <c r="E108" s="43">
        <v>842349.19</v>
      </c>
      <c r="F108" s="43">
        <v>123661.73</v>
      </c>
      <c r="G108" s="43"/>
    </row>
    <row r="109" spans="4:7">
      <c r="D109" s="43">
        <v>459889.67</v>
      </c>
      <c r="E109" s="43">
        <v>857853.17</v>
      </c>
      <c r="F109" s="43">
        <v>123420.66</v>
      </c>
      <c r="G109" s="43"/>
    </row>
    <row r="110" spans="4:7">
      <c r="D110" s="43">
        <v>457138.43</v>
      </c>
      <c r="E110" s="43">
        <v>890792.53</v>
      </c>
      <c r="F110" s="43">
        <v>128187.85</v>
      </c>
      <c r="G110" s="43"/>
    </row>
    <row r="116" spans="7:7">
      <c r="G116" s="38"/>
    </row>
    <row r="117" spans="7:7">
      <c r="G117" s="38"/>
    </row>
    <row r="118" spans="7:7">
      <c r="G118" s="38"/>
    </row>
    <row r="119" spans="7:7">
      <c r="G119" s="38"/>
    </row>
    <row r="120" spans="7:7">
      <c r="G120" s="38"/>
    </row>
    <row r="121" spans="7:7">
      <c r="G121" s="38"/>
    </row>
    <row r="122" spans="7:7">
      <c r="G122" s="38"/>
    </row>
    <row r="123" spans="7:7">
      <c r="G123" s="38"/>
    </row>
    <row r="124" spans="7:7">
      <c r="G124" s="38"/>
    </row>
    <row r="125" spans="7:7">
      <c r="G125" s="38"/>
    </row>
    <row r="126" spans="7:7">
      <c r="G126" s="38"/>
    </row>
    <row r="127" spans="7:7">
      <c r="G127" s="38"/>
    </row>
    <row r="128" spans="7:7">
      <c r="G128" s="38"/>
    </row>
  </sheetData>
  <mergeCells count="19">
    <mergeCell ref="A1:H1"/>
    <mergeCell ref="D2:H2"/>
    <mergeCell ref="A2:A3"/>
    <mergeCell ref="B2:B4"/>
    <mergeCell ref="C2:C4"/>
    <mergeCell ref="D3:D4"/>
    <mergeCell ref="E3:E4"/>
    <mergeCell ref="F3:F4"/>
    <mergeCell ref="G3:G4"/>
    <mergeCell ref="H3:H4"/>
    <mergeCell ref="I3:I4"/>
    <mergeCell ref="J3:J4"/>
    <mergeCell ref="K3:K4"/>
    <mergeCell ref="L3:L4"/>
    <mergeCell ref="M3:M4"/>
    <mergeCell ref="N3:N4"/>
    <mergeCell ref="O3:O4"/>
    <mergeCell ref="P3:P4"/>
    <mergeCell ref="Q2:Q4"/>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4"/>
  <sheetViews>
    <sheetView workbookViewId="0">
      <selection activeCell="E4" sqref="E4"/>
    </sheetView>
  </sheetViews>
  <sheetFormatPr defaultColWidth="8.875" defaultRowHeight="13.5" outlineLevelCol="4"/>
  <cols>
    <col min="2" max="2" width="23.125" customWidth="1"/>
    <col min="3" max="3" width="27.25" customWidth="1"/>
    <col min="4" max="4" width="32.5" customWidth="1"/>
  </cols>
  <sheetData>
    <row r="1" spans="1:5">
      <c r="A1" s="5" t="s">
        <v>114</v>
      </c>
      <c r="B1" s="5" t="s">
        <v>115</v>
      </c>
      <c r="C1" s="5" t="s">
        <v>116</v>
      </c>
      <c r="D1" s="5" t="s">
        <v>117</v>
      </c>
      <c r="E1" s="5"/>
    </row>
    <row r="2" spans="1:5">
      <c r="A2" s="6">
        <v>1</v>
      </c>
      <c r="B2" s="7" t="s">
        <v>118</v>
      </c>
      <c r="C2" s="74" t="s">
        <v>119</v>
      </c>
      <c r="D2" s="7" t="s">
        <v>120</v>
      </c>
      <c r="E2" s="7">
        <v>21</v>
      </c>
    </row>
    <row r="3" spans="1:5">
      <c r="A3" s="6">
        <v>2</v>
      </c>
      <c r="B3" s="8" t="s">
        <v>121</v>
      </c>
      <c r="C3" s="8" t="s">
        <v>119</v>
      </c>
      <c r="D3" s="8" t="s">
        <v>122</v>
      </c>
      <c r="E3" s="8">
        <v>15</v>
      </c>
    </row>
    <row r="4" spans="1:5">
      <c r="A4" s="6">
        <v>3</v>
      </c>
      <c r="B4" s="8" t="s">
        <v>123</v>
      </c>
      <c r="C4" s="8" t="s">
        <v>124</v>
      </c>
      <c r="D4" s="8" t="s">
        <v>125</v>
      </c>
      <c r="E4" s="8"/>
    </row>
    <row r="5" spans="1:5">
      <c r="A5" s="6">
        <v>4</v>
      </c>
      <c r="B5" s="7" t="s">
        <v>126</v>
      </c>
      <c r="C5" s="7" t="s">
        <v>127</v>
      </c>
      <c r="D5" s="7" t="s">
        <v>128</v>
      </c>
      <c r="E5" s="7"/>
    </row>
    <row r="6" spans="1:5">
      <c r="A6" s="6">
        <v>5</v>
      </c>
      <c r="B6" s="8" t="s">
        <v>129</v>
      </c>
      <c r="C6" s="8" t="s">
        <v>130</v>
      </c>
      <c r="D6" s="8" t="s">
        <v>131</v>
      </c>
      <c r="E6" s="8"/>
    </row>
    <row r="7" spans="1:5">
      <c r="A7" s="6">
        <v>6</v>
      </c>
      <c r="B7" s="8" t="s">
        <v>132</v>
      </c>
      <c r="C7" s="8" t="s">
        <v>133</v>
      </c>
      <c r="D7" s="8" t="s">
        <v>134</v>
      </c>
      <c r="E7" s="8"/>
    </row>
    <row r="8" spans="1:5">
      <c r="A8" s="6">
        <v>7</v>
      </c>
      <c r="B8" s="8" t="s">
        <v>135</v>
      </c>
      <c r="C8" s="8" t="s">
        <v>136</v>
      </c>
      <c r="D8" s="8" t="s">
        <v>137</v>
      </c>
      <c r="E8" s="8"/>
    </row>
    <row r="9" spans="1:5">
      <c r="A9" s="6">
        <v>8</v>
      </c>
      <c r="B9" s="8" t="s">
        <v>138</v>
      </c>
      <c r="C9" s="8" t="s">
        <v>139</v>
      </c>
      <c r="D9" s="8" t="s">
        <v>140</v>
      </c>
      <c r="E9" s="8"/>
    </row>
    <row r="10" spans="1:5">
      <c r="A10" s="6">
        <v>9</v>
      </c>
      <c r="B10" s="8" t="s">
        <v>141</v>
      </c>
      <c r="C10" s="8" t="s">
        <v>119</v>
      </c>
      <c r="D10" s="8" t="s">
        <v>142</v>
      </c>
      <c r="E10" s="8"/>
    </row>
    <row r="11" spans="1:5">
      <c r="A11" s="6">
        <v>10</v>
      </c>
      <c r="B11" s="7" t="s">
        <v>143</v>
      </c>
      <c r="C11" s="7" t="s">
        <v>144</v>
      </c>
      <c r="D11" s="7" t="s">
        <v>145</v>
      </c>
      <c r="E11" s="7"/>
    </row>
    <row r="12" spans="1:5">
      <c r="A12" s="6">
        <v>11</v>
      </c>
      <c r="B12" s="7" t="s">
        <v>146</v>
      </c>
      <c r="C12" s="7" t="s">
        <v>130</v>
      </c>
      <c r="D12" s="7" t="s">
        <v>147</v>
      </c>
      <c r="E12" s="7"/>
    </row>
    <row r="13" spans="1:5">
      <c r="A13" s="6">
        <v>12</v>
      </c>
      <c r="B13" s="7" t="s">
        <v>148</v>
      </c>
      <c r="C13" s="7" t="s">
        <v>149</v>
      </c>
      <c r="D13" s="7" t="s">
        <v>150</v>
      </c>
      <c r="E13" s="7"/>
    </row>
    <row r="14" spans="1:5">
      <c r="A14" s="6">
        <v>13</v>
      </c>
      <c r="B14" s="7" t="s">
        <v>151</v>
      </c>
      <c r="C14" s="7" t="s">
        <v>152</v>
      </c>
      <c r="D14" s="7" t="s">
        <v>153</v>
      </c>
      <c r="E14" s="7"/>
    </row>
  </sheetData>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84"/>
  <sheetViews>
    <sheetView topLeftCell="A88" workbookViewId="0">
      <selection activeCell="A102" sqref="A102:L102"/>
    </sheetView>
  </sheetViews>
  <sheetFormatPr defaultColWidth="8.875" defaultRowHeight="13.5"/>
  <cols>
    <col min="1" max="1" width="24.25" customWidth="1"/>
    <col min="3" max="3" width="24.25" customWidth="1"/>
  </cols>
  <sheetData>
    <row r="1" spans="3:4">
      <c r="C1" t="s">
        <v>1</v>
      </c>
      <c r="D1" t="s">
        <v>154</v>
      </c>
    </row>
    <row r="2" spans="3:4">
      <c r="C2" t="s">
        <v>1</v>
      </c>
      <c r="D2" t="s">
        <v>155</v>
      </c>
    </row>
    <row r="3" spans="3:4">
      <c r="C3" t="s">
        <v>1</v>
      </c>
      <c r="D3" t="s">
        <v>156</v>
      </c>
    </row>
    <row r="4" spans="3:4">
      <c r="C4" t="s">
        <v>1</v>
      </c>
      <c r="D4" t="s">
        <v>157</v>
      </c>
    </row>
    <row r="5" spans="3:4">
      <c r="C5" t="s">
        <v>1</v>
      </c>
      <c r="D5" t="s">
        <v>158</v>
      </c>
    </row>
    <row r="6" spans="3:4">
      <c r="C6" t="s">
        <v>1</v>
      </c>
      <c r="D6" t="s">
        <v>159</v>
      </c>
    </row>
    <row r="7" spans="3:4">
      <c r="C7" t="s">
        <v>1</v>
      </c>
      <c r="D7" t="s">
        <v>160</v>
      </c>
    </row>
    <row r="8" spans="3:4">
      <c r="C8" t="s">
        <v>1</v>
      </c>
      <c r="D8" t="s">
        <v>161</v>
      </c>
    </row>
    <row r="9" spans="3:4">
      <c r="C9" t="s">
        <v>1</v>
      </c>
      <c r="D9" t="s">
        <v>162</v>
      </c>
    </row>
    <row r="10" spans="3:4">
      <c r="C10" t="s">
        <v>1</v>
      </c>
      <c r="D10" t="s">
        <v>163</v>
      </c>
    </row>
    <row r="11" spans="3:4">
      <c r="C11" t="s">
        <v>1</v>
      </c>
      <c r="D11" t="s">
        <v>164</v>
      </c>
    </row>
    <row r="12" spans="3:4">
      <c r="C12" t="s">
        <v>1</v>
      </c>
      <c r="D12" t="s">
        <v>165</v>
      </c>
    </row>
    <row r="13" spans="3:4">
      <c r="C13" t="s">
        <v>1</v>
      </c>
      <c r="D13" t="s">
        <v>166</v>
      </c>
    </row>
    <row r="14" spans="3:4">
      <c r="C14" t="s">
        <v>1</v>
      </c>
      <c r="D14" t="s">
        <v>167</v>
      </c>
    </row>
    <row r="15" spans="3:4">
      <c r="C15" t="s">
        <v>1</v>
      </c>
      <c r="D15" t="s">
        <v>168</v>
      </c>
    </row>
    <row r="17" ht="40.5" spans="3:17">
      <c r="C17" s="2" t="s">
        <v>1</v>
      </c>
      <c r="D17" s="2" t="s">
        <v>1</v>
      </c>
      <c r="E17" s="2" t="s">
        <v>1</v>
      </c>
      <c r="F17" s="2" t="s">
        <v>1</v>
      </c>
      <c r="G17" s="2" t="s">
        <v>1</v>
      </c>
      <c r="H17" s="2" t="s">
        <v>1</v>
      </c>
      <c r="I17" s="2" t="s">
        <v>1</v>
      </c>
      <c r="J17" s="2" t="s">
        <v>1</v>
      </c>
      <c r="K17" s="2" t="s">
        <v>1</v>
      </c>
      <c r="L17" s="2" t="s">
        <v>1</v>
      </c>
      <c r="M17" s="2" t="s">
        <v>1</v>
      </c>
      <c r="N17" s="2" t="s">
        <v>1</v>
      </c>
      <c r="O17" s="2" t="s">
        <v>1</v>
      </c>
      <c r="P17" s="2" t="s">
        <v>1</v>
      </c>
      <c r="Q17" s="2" t="s">
        <v>1</v>
      </c>
    </row>
    <row r="18" ht="135" spans="3:17">
      <c r="C18" s="2" t="s">
        <v>154</v>
      </c>
      <c r="D18" s="2" t="s">
        <v>155</v>
      </c>
      <c r="E18" s="2" t="s">
        <v>156</v>
      </c>
      <c r="F18" s="2" t="s">
        <v>157</v>
      </c>
      <c r="G18" s="2" t="s">
        <v>158</v>
      </c>
      <c r="H18" s="2" t="s">
        <v>159</v>
      </c>
      <c r="I18" s="2" t="s">
        <v>160</v>
      </c>
      <c r="J18" s="2" t="s">
        <v>161</v>
      </c>
      <c r="K18" s="2" t="s">
        <v>162</v>
      </c>
      <c r="L18" s="2" t="s">
        <v>163</v>
      </c>
      <c r="M18" s="2" t="s">
        <v>164</v>
      </c>
      <c r="N18" s="2" t="s">
        <v>165</v>
      </c>
      <c r="O18" s="2" t="s">
        <v>166</v>
      </c>
      <c r="P18" s="2" t="s">
        <v>167</v>
      </c>
      <c r="Q18" s="2" t="s">
        <v>168</v>
      </c>
    </row>
    <row r="20" spans="1:2">
      <c r="A20" t="s">
        <v>36</v>
      </c>
      <c r="B20" t="s">
        <v>169</v>
      </c>
    </row>
    <row r="21" spans="1:2">
      <c r="A21" t="s">
        <v>36</v>
      </c>
      <c r="B21" t="s">
        <v>170</v>
      </c>
    </row>
    <row r="22" spans="1:2">
      <c r="A22" t="s">
        <v>37</v>
      </c>
      <c r="B22" t="s">
        <v>171</v>
      </c>
    </row>
    <row r="23" spans="1:2">
      <c r="A23" t="s">
        <v>37</v>
      </c>
      <c r="B23" t="s">
        <v>172</v>
      </c>
    </row>
    <row r="24" spans="1:2">
      <c r="A24" t="s">
        <v>38</v>
      </c>
      <c r="B24" t="s">
        <v>173</v>
      </c>
    </row>
    <row r="25" spans="1:2">
      <c r="A25" t="s">
        <v>38</v>
      </c>
      <c r="B25" t="s">
        <v>174</v>
      </c>
    </row>
    <row r="26" spans="1:2">
      <c r="A26" t="s">
        <v>39</v>
      </c>
      <c r="B26" t="s">
        <v>175</v>
      </c>
    </row>
    <row r="27" spans="1:2">
      <c r="A27" t="s">
        <v>40</v>
      </c>
      <c r="B27" t="s">
        <v>176</v>
      </c>
    </row>
    <row r="28" spans="1:2">
      <c r="A28" t="s">
        <v>40</v>
      </c>
      <c r="B28" t="s">
        <v>177</v>
      </c>
    </row>
    <row r="29" spans="1:2">
      <c r="A29" t="s">
        <v>84</v>
      </c>
      <c r="B29" t="s">
        <v>178</v>
      </c>
    </row>
    <row r="30" spans="1:2">
      <c r="A30" t="s">
        <v>84</v>
      </c>
      <c r="B30" t="s">
        <v>179</v>
      </c>
    </row>
    <row r="31" spans="1:2">
      <c r="A31" t="s">
        <v>85</v>
      </c>
      <c r="B31" t="s">
        <v>180</v>
      </c>
    </row>
    <row r="32" spans="1:2">
      <c r="A32" t="s">
        <v>85</v>
      </c>
      <c r="B32" t="s">
        <v>181</v>
      </c>
    </row>
    <row r="33" spans="1:2">
      <c r="A33" t="s">
        <v>87</v>
      </c>
      <c r="B33" t="s">
        <v>182</v>
      </c>
    </row>
    <row r="34" spans="1:2">
      <c r="A34" t="s">
        <v>87</v>
      </c>
      <c r="B34" t="s">
        <v>183</v>
      </c>
    </row>
    <row r="36" ht="40.5" spans="1:15">
      <c r="A36" s="2" t="s">
        <v>36</v>
      </c>
      <c r="B36" s="2" t="s">
        <v>36</v>
      </c>
      <c r="C36" s="2" t="s">
        <v>37</v>
      </c>
      <c r="D36" s="2" t="s">
        <v>37</v>
      </c>
      <c r="E36" s="2" t="s">
        <v>38</v>
      </c>
      <c r="F36" s="2" t="s">
        <v>38</v>
      </c>
      <c r="G36" s="2" t="s">
        <v>39</v>
      </c>
      <c r="H36" s="2" t="s">
        <v>40</v>
      </c>
      <c r="I36" s="2" t="s">
        <v>40</v>
      </c>
      <c r="J36" s="2" t="s">
        <v>84</v>
      </c>
      <c r="K36" s="2" t="s">
        <v>84</v>
      </c>
      <c r="L36" s="2" t="s">
        <v>85</v>
      </c>
      <c r="M36" s="2" t="s">
        <v>85</v>
      </c>
      <c r="N36" s="2" t="s">
        <v>87</v>
      </c>
      <c r="O36" s="2" t="s">
        <v>87</v>
      </c>
    </row>
    <row r="37" ht="94.5" spans="1:15">
      <c r="A37" s="2" t="s">
        <v>169</v>
      </c>
      <c r="B37" s="2" t="s">
        <v>170</v>
      </c>
      <c r="C37" s="2" t="s">
        <v>171</v>
      </c>
      <c r="D37" s="2" t="s">
        <v>172</v>
      </c>
      <c r="E37" s="2" t="s">
        <v>173</v>
      </c>
      <c r="F37" s="2" t="s">
        <v>174</v>
      </c>
      <c r="G37" s="2" t="s">
        <v>175</v>
      </c>
      <c r="H37" s="2" t="s">
        <v>176</v>
      </c>
      <c r="I37" s="2" t="s">
        <v>177</v>
      </c>
      <c r="J37" s="2" t="s">
        <v>178</v>
      </c>
      <c r="K37" s="2" t="s">
        <v>179</v>
      </c>
      <c r="L37" s="2" t="s">
        <v>180</v>
      </c>
      <c r="M37" s="2" t="s">
        <v>181</v>
      </c>
      <c r="N37" s="2" t="s">
        <v>182</v>
      </c>
      <c r="O37" s="2" t="s">
        <v>183</v>
      </c>
    </row>
    <row r="40" spans="1:2">
      <c r="A40" t="s">
        <v>36</v>
      </c>
      <c r="B40" t="s">
        <v>184</v>
      </c>
    </row>
    <row r="41" spans="1:2">
      <c r="A41" t="s">
        <v>36</v>
      </c>
      <c r="B41" t="s">
        <v>185</v>
      </c>
    </row>
    <row r="42" spans="1:2">
      <c r="A42" t="s">
        <v>186</v>
      </c>
      <c r="B42" t="s">
        <v>187</v>
      </c>
    </row>
    <row r="43" spans="1:2">
      <c r="A43" t="s">
        <v>186</v>
      </c>
      <c r="B43" t="s">
        <v>188</v>
      </c>
    </row>
    <row r="44" spans="1:2">
      <c r="A44" t="s">
        <v>189</v>
      </c>
      <c r="B44" t="s">
        <v>190</v>
      </c>
    </row>
    <row r="45" spans="1:2">
      <c r="A45" t="s">
        <v>189</v>
      </c>
      <c r="B45" t="s">
        <v>191</v>
      </c>
    </row>
    <row r="46" spans="1:2">
      <c r="A46" t="s">
        <v>38</v>
      </c>
      <c r="B46" t="s">
        <v>192</v>
      </c>
    </row>
    <row r="47" spans="1:2">
      <c r="A47" t="s">
        <v>39</v>
      </c>
      <c r="B47" t="s">
        <v>193</v>
      </c>
    </row>
    <row r="48" spans="1:2">
      <c r="A48" t="s">
        <v>40</v>
      </c>
      <c r="B48" t="s">
        <v>194</v>
      </c>
    </row>
    <row r="49" spans="1:2">
      <c r="A49" t="s">
        <v>195</v>
      </c>
      <c r="B49" t="s">
        <v>196</v>
      </c>
    </row>
    <row r="50" spans="1:2">
      <c r="A50" t="s">
        <v>195</v>
      </c>
      <c r="B50" t="s">
        <v>197</v>
      </c>
    </row>
    <row r="52" ht="40.5" spans="1:11">
      <c r="A52" s="2" t="s">
        <v>36</v>
      </c>
      <c r="B52" s="2" t="s">
        <v>36</v>
      </c>
      <c r="C52" s="2" t="s">
        <v>186</v>
      </c>
      <c r="D52" s="2" t="s">
        <v>186</v>
      </c>
      <c r="E52" s="2" t="s">
        <v>189</v>
      </c>
      <c r="F52" s="2" t="s">
        <v>189</v>
      </c>
      <c r="G52" s="2" t="s">
        <v>38</v>
      </c>
      <c r="H52" s="2" t="s">
        <v>39</v>
      </c>
      <c r="I52" s="2" t="s">
        <v>40</v>
      </c>
      <c r="J52" s="2" t="s">
        <v>195</v>
      </c>
      <c r="K52" s="2" t="s">
        <v>195</v>
      </c>
    </row>
    <row r="53" ht="81" spans="1:11">
      <c r="A53" s="2" t="s">
        <v>184</v>
      </c>
      <c r="B53" s="2" t="s">
        <v>185</v>
      </c>
      <c r="C53" s="2" t="s">
        <v>187</v>
      </c>
      <c r="D53" s="2" t="s">
        <v>188</v>
      </c>
      <c r="E53" s="2" t="s">
        <v>190</v>
      </c>
      <c r="F53" s="2" t="s">
        <v>191</v>
      </c>
      <c r="G53" s="2" t="s">
        <v>192</v>
      </c>
      <c r="H53" s="2" t="s">
        <v>193</v>
      </c>
      <c r="I53" s="2" t="s">
        <v>194</v>
      </c>
      <c r="J53" s="2" t="s">
        <v>196</v>
      </c>
      <c r="K53" s="2" t="s">
        <v>197</v>
      </c>
    </row>
    <row r="56" spans="1:2">
      <c r="A56" t="s">
        <v>36</v>
      </c>
      <c r="B56" t="s">
        <v>198</v>
      </c>
    </row>
    <row r="57" spans="1:2">
      <c r="A57" t="s">
        <v>36</v>
      </c>
      <c r="B57" t="s">
        <v>199</v>
      </c>
    </row>
    <row r="58" spans="1:2">
      <c r="A58" t="s">
        <v>38</v>
      </c>
      <c r="B58" t="s">
        <v>200</v>
      </c>
    </row>
    <row r="59" spans="1:2">
      <c r="A59" t="s">
        <v>38</v>
      </c>
      <c r="B59" t="s">
        <v>201</v>
      </c>
    </row>
    <row r="60" spans="1:2">
      <c r="A60" t="s">
        <v>39</v>
      </c>
      <c r="B60" t="s">
        <v>202</v>
      </c>
    </row>
    <row r="61" s="1" customFormat="1" spans="1:2">
      <c r="A61" s="1" t="s">
        <v>39</v>
      </c>
      <c r="B61" s="1" t="s">
        <v>203</v>
      </c>
    </row>
    <row r="62" spans="1:2">
      <c r="A62" t="s">
        <v>40</v>
      </c>
      <c r="B62" t="s">
        <v>204</v>
      </c>
    </row>
    <row r="63" spans="1:2">
      <c r="A63" t="s">
        <v>40</v>
      </c>
      <c r="B63" t="s">
        <v>205</v>
      </c>
    </row>
    <row r="64" spans="1:2">
      <c r="A64" t="s">
        <v>206</v>
      </c>
      <c r="B64" t="s">
        <v>207</v>
      </c>
    </row>
    <row r="65" spans="1:2">
      <c r="A65" t="s">
        <v>206</v>
      </c>
      <c r="B65" t="s">
        <v>208</v>
      </c>
    </row>
    <row r="66" spans="1:2">
      <c r="A66" t="s">
        <v>42</v>
      </c>
      <c r="B66" t="s">
        <v>209</v>
      </c>
    </row>
    <row r="69" ht="40.5" spans="1:11">
      <c r="A69" s="2" t="s">
        <v>36</v>
      </c>
      <c r="B69" s="2" t="s">
        <v>36</v>
      </c>
      <c r="C69" s="2" t="s">
        <v>38</v>
      </c>
      <c r="D69" s="2" t="s">
        <v>38</v>
      </c>
      <c r="E69" s="2" t="s">
        <v>39</v>
      </c>
      <c r="F69" s="3" t="s">
        <v>39</v>
      </c>
      <c r="G69" s="2" t="s">
        <v>40</v>
      </c>
      <c r="H69" s="2" t="s">
        <v>40</v>
      </c>
      <c r="I69" s="2" t="s">
        <v>206</v>
      </c>
      <c r="J69" s="2" t="s">
        <v>206</v>
      </c>
      <c r="K69" s="2" t="s">
        <v>42</v>
      </c>
    </row>
    <row r="70" ht="54" spans="1:11">
      <c r="A70" s="2" t="s">
        <v>198</v>
      </c>
      <c r="B70" s="2" t="s">
        <v>199</v>
      </c>
      <c r="C70" s="2" t="s">
        <v>200</v>
      </c>
      <c r="D70" s="2" t="s">
        <v>201</v>
      </c>
      <c r="E70" s="2" t="s">
        <v>202</v>
      </c>
      <c r="F70" s="3" t="s">
        <v>203</v>
      </c>
      <c r="G70" s="2" t="s">
        <v>204</v>
      </c>
      <c r="H70" s="2" t="s">
        <v>205</v>
      </c>
      <c r="I70" s="2" t="s">
        <v>207</v>
      </c>
      <c r="J70" s="2" t="s">
        <v>208</v>
      </c>
      <c r="K70" s="2" t="s">
        <v>209</v>
      </c>
    </row>
    <row r="72" spans="1:2">
      <c r="A72" t="s">
        <v>1</v>
      </c>
      <c r="B72" t="s">
        <v>210</v>
      </c>
    </row>
    <row r="73" spans="1:2">
      <c r="A73" t="s">
        <v>1</v>
      </c>
      <c r="B73" t="s">
        <v>211</v>
      </c>
    </row>
    <row r="74" spans="1:2">
      <c r="A74" t="s">
        <v>1</v>
      </c>
      <c r="B74" t="s">
        <v>212</v>
      </c>
    </row>
    <row r="75" spans="1:2">
      <c r="A75" t="s">
        <v>1</v>
      </c>
      <c r="B75" t="s">
        <v>213</v>
      </c>
    </row>
    <row r="76" spans="1:2">
      <c r="A76" t="s">
        <v>1</v>
      </c>
      <c r="B76" t="s">
        <v>214</v>
      </c>
    </row>
    <row r="77" spans="1:2">
      <c r="A77" t="s">
        <v>1</v>
      </c>
      <c r="B77" t="s">
        <v>215</v>
      </c>
    </row>
    <row r="78" spans="1:2">
      <c r="A78" t="s">
        <v>1</v>
      </c>
      <c r="B78" t="s">
        <v>216</v>
      </c>
    </row>
    <row r="79" spans="1:2">
      <c r="A79" t="s">
        <v>1</v>
      </c>
      <c r="B79" t="s">
        <v>217</v>
      </c>
    </row>
    <row r="80" spans="1:2">
      <c r="A80" t="s">
        <v>1</v>
      </c>
      <c r="B80" t="s">
        <v>218</v>
      </c>
    </row>
    <row r="81" spans="1:2">
      <c r="A81" t="s">
        <v>1</v>
      </c>
      <c r="B81" t="s">
        <v>219</v>
      </c>
    </row>
    <row r="82" spans="1:2">
      <c r="A82" t="s">
        <v>1</v>
      </c>
      <c r="B82" t="s">
        <v>220</v>
      </c>
    </row>
    <row r="83" spans="1:2">
      <c r="A83" t="s">
        <v>1</v>
      </c>
      <c r="B83" t="s">
        <v>221</v>
      </c>
    </row>
    <row r="85" ht="40.5" spans="1:12">
      <c r="A85" s="2" t="s">
        <v>1</v>
      </c>
      <c r="B85" s="2" t="s">
        <v>1</v>
      </c>
      <c r="C85" s="2" t="s">
        <v>1</v>
      </c>
      <c r="D85" s="2" t="s">
        <v>1</v>
      </c>
      <c r="E85" s="2" t="s">
        <v>1</v>
      </c>
      <c r="F85" s="2" t="s">
        <v>1</v>
      </c>
      <c r="G85" s="2" t="s">
        <v>1</v>
      </c>
      <c r="H85" s="2" t="s">
        <v>1</v>
      </c>
      <c r="I85" s="2" t="s">
        <v>1</v>
      </c>
      <c r="J85" s="2" t="s">
        <v>1</v>
      </c>
      <c r="K85" s="2" t="s">
        <v>1</v>
      </c>
      <c r="L85" s="2" t="s">
        <v>1</v>
      </c>
    </row>
    <row r="86" ht="54" spans="1:12">
      <c r="A86" s="2" t="s">
        <v>210</v>
      </c>
      <c r="B86" s="2" t="s">
        <v>211</v>
      </c>
      <c r="C86" s="2" t="s">
        <v>212</v>
      </c>
      <c r="D86" s="2" t="s">
        <v>213</v>
      </c>
      <c r="E86" s="2" t="s">
        <v>214</v>
      </c>
      <c r="F86" s="2" t="s">
        <v>215</v>
      </c>
      <c r="G86" s="2" t="s">
        <v>216</v>
      </c>
      <c r="H86" s="2" t="s">
        <v>217</v>
      </c>
      <c r="I86" s="2" t="s">
        <v>218</v>
      </c>
      <c r="J86" s="2" t="s">
        <v>219</v>
      </c>
      <c r="K86" s="2" t="s">
        <v>220</v>
      </c>
      <c r="L86" s="2" t="s">
        <v>221</v>
      </c>
    </row>
    <row r="88" spans="1:2">
      <c r="A88" t="s">
        <v>1</v>
      </c>
      <c r="B88" t="s">
        <v>222</v>
      </c>
    </row>
    <row r="89" spans="1:2">
      <c r="A89" t="s">
        <v>1</v>
      </c>
      <c r="B89" t="s">
        <v>223</v>
      </c>
    </row>
    <row r="90" spans="1:2">
      <c r="A90" t="s">
        <v>1</v>
      </c>
      <c r="B90" t="s">
        <v>224</v>
      </c>
    </row>
    <row r="91" spans="1:2">
      <c r="A91" t="s">
        <v>1</v>
      </c>
      <c r="B91" t="s">
        <v>225</v>
      </c>
    </row>
    <row r="92" spans="1:2">
      <c r="A92" t="s">
        <v>1</v>
      </c>
      <c r="B92" t="s">
        <v>226</v>
      </c>
    </row>
    <row r="93" spans="1:2">
      <c r="A93" t="s">
        <v>1</v>
      </c>
      <c r="B93" t="s">
        <v>227</v>
      </c>
    </row>
    <row r="94" spans="1:2">
      <c r="A94" t="s">
        <v>1</v>
      </c>
      <c r="B94" t="s">
        <v>228</v>
      </c>
    </row>
    <row r="95" spans="1:2">
      <c r="A95" t="s">
        <v>1</v>
      </c>
      <c r="B95" t="s">
        <v>229</v>
      </c>
    </row>
    <row r="96" spans="1:2">
      <c r="A96" t="s">
        <v>1</v>
      </c>
      <c r="B96" t="s">
        <v>230</v>
      </c>
    </row>
    <row r="97" spans="1:2">
      <c r="A97" t="s">
        <v>1</v>
      </c>
      <c r="B97" t="s">
        <v>231</v>
      </c>
    </row>
    <row r="98" spans="1:2">
      <c r="A98" t="s">
        <v>1</v>
      </c>
      <c r="B98" t="s">
        <v>232</v>
      </c>
    </row>
    <row r="99" spans="1:2">
      <c r="A99" t="s">
        <v>1</v>
      </c>
      <c r="B99" t="s">
        <v>233</v>
      </c>
    </row>
    <row r="101" spans="1:12">
      <c r="A101" t="s">
        <v>1</v>
      </c>
      <c r="B101" t="s">
        <v>1</v>
      </c>
      <c r="C101" t="s">
        <v>1</v>
      </c>
      <c r="D101" t="s">
        <v>1</v>
      </c>
      <c r="E101" t="s">
        <v>1</v>
      </c>
      <c r="F101" t="s">
        <v>1</v>
      </c>
      <c r="G101" t="s">
        <v>1</v>
      </c>
      <c r="H101" t="s">
        <v>1</v>
      </c>
      <c r="I101" t="s">
        <v>1</v>
      </c>
      <c r="J101" t="s">
        <v>1</v>
      </c>
      <c r="K101" t="s">
        <v>1</v>
      </c>
      <c r="L101" t="s">
        <v>1</v>
      </c>
    </row>
    <row r="102" spans="1:12">
      <c r="A102" t="s">
        <v>222</v>
      </c>
      <c r="B102" t="s">
        <v>223</v>
      </c>
      <c r="C102" t="s">
        <v>224</v>
      </c>
      <c r="D102" t="s">
        <v>225</v>
      </c>
      <c r="E102" t="s">
        <v>226</v>
      </c>
      <c r="F102" t="s">
        <v>227</v>
      </c>
      <c r="G102" t="s">
        <v>228</v>
      </c>
      <c r="H102" t="s">
        <v>229</v>
      </c>
      <c r="I102" t="s">
        <v>230</v>
      </c>
      <c r="J102" t="s">
        <v>231</v>
      </c>
      <c r="K102" t="s">
        <v>232</v>
      </c>
      <c r="L102" t="s">
        <v>233</v>
      </c>
    </row>
    <row r="104" spans="1:2">
      <c r="A104" t="s">
        <v>234</v>
      </c>
      <c r="B104" t="s">
        <v>235</v>
      </c>
    </row>
    <row r="105" spans="1:2">
      <c r="A105" t="s">
        <v>80</v>
      </c>
      <c r="B105" t="s">
        <v>236</v>
      </c>
    </row>
    <row r="106" spans="1:2">
      <c r="A106" t="s">
        <v>81</v>
      </c>
      <c r="B106" t="s">
        <v>237</v>
      </c>
    </row>
    <row r="107" spans="1:2">
      <c r="A107" t="s">
        <v>82</v>
      </c>
      <c r="B107" t="s">
        <v>238</v>
      </c>
    </row>
    <row r="108" spans="1:2">
      <c r="A108" t="s">
        <v>83</v>
      </c>
      <c r="B108" t="s">
        <v>239</v>
      </c>
    </row>
    <row r="109" spans="1:2">
      <c r="A109" t="s">
        <v>84</v>
      </c>
      <c r="B109" t="s">
        <v>240</v>
      </c>
    </row>
    <row r="110" spans="1:2">
      <c r="A110" t="s">
        <v>84</v>
      </c>
      <c r="B110" t="s">
        <v>241</v>
      </c>
    </row>
    <row r="111" spans="1:2">
      <c r="A111" t="s">
        <v>85</v>
      </c>
      <c r="B111" t="s">
        <v>242</v>
      </c>
    </row>
    <row r="112" spans="1:2">
      <c r="A112" t="s">
        <v>86</v>
      </c>
      <c r="B112" t="s">
        <v>243</v>
      </c>
    </row>
    <row r="113" spans="1:2">
      <c r="A113" t="s">
        <v>86</v>
      </c>
      <c r="B113" t="s">
        <v>244</v>
      </c>
    </row>
    <row r="114" spans="1:2">
      <c r="A114" t="s">
        <v>245</v>
      </c>
      <c r="B114" t="s">
        <v>246</v>
      </c>
    </row>
    <row r="116" spans="1:11">
      <c r="A116" t="s">
        <v>234</v>
      </c>
      <c r="B116" t="s">
        <v>80</v>
      </c>
      <c r="C116" t="s">
        <v>81</v>
      </c>
      <c r="D116" t="s">
        <v>82</v>
      </c>
      <c r="E116" t="s">
        <v>83</v>
      </c>
      <c r="F116" t="s">
        <v>84</v>
      </c>
      <c r="G116" t="s">
        <v>84</v>
      </c>
      <c r="H116" t="s">
        <v>85</v>
      </c>
      <c r="I116" t="s">
        <v>86</v>
      </c>
      <c r="J116" t="s">
        <v>86</v>
      </c>
      <c r="K116" t="s">
        <v>245</v>
      </c>
    </row>
    <row r="117" spans="1:11">
      <c r="A117" t="s">
        <v>235</v>
      </c>
      <c r="B117" t="s">
        <v>236</v>
      </c>
      <c r="C117" t="s">
        <v>237</v>
      </c>
      <c r="D117" t="s">
        <v>238</v>
      </c>
      <c r="E117" t="s">
        <v>239</v>
      </c>
      <c r="F117" t="s">
        <v>240</v>
      </c>
      <c r="G117" t="s">
        <v>241</v>
      </c>
      <c r="H117" t="s">
        <v>242</v>
      </c>
      <c r="I117" t="s">
        <v>243</v>
      </c>
      <c r="J117" t="s">
        <v>244</v>
      </c>
      <c r="K117" t="s">
        <v>246</v>
      </c>
    </row>
    <row r="119" spans="1:2">
      <c r="A119" t="s">
        <v>1</v>
      </c>
      <c r="B119" t="s">
        <v>247</v>
      </c>
    </row>
    <row r="120" spans="1:2">
      <c r="A120" t="s">
        <v>1</v>
      </c>
      <c r="B120" t="s">
        <v>248</v>
      </c>
    </row>
    <row r="121" spans="1:2">
      <c r="A121" t="s">
        <v>1</v>
      </c>
      <c r="B121" t="s">
        <v>249</v>
      </c>
    </row>
    <row r="122" spans="1:2">
      <c r="A122" t="s">
        <v>1</v>
      </c>
      <c r="B122" t="s">
        <v>250</v>
      </c>
    </row>
    <row r="123" spans="1:2">
      <c r="A123" t="s">
        <v>1</v>
      </c>
      <c r="B123" t="s">
        <v>251</v>
      </c>
    </row>
    <row r="124" spans="1:2">
      <c r="A124" t="s">
        <v>1</v>
      </c>
      <c r="B124" t="s">
        <v>252</v>
      </c>
    </row>
    <row r="125" spans="1:2">
      <c r="A125" t="s">
        <v>1</v>
      </c>
      <c r="B125" t="s">
        <v>253</v>
      </c>
    </row>
    <row r="126" spans="1:2">
      <c r="A126" t="s">
        <v>1</v>
      </c>
      <c r="B126" t="s">
        <v>254</v>
      </c>
    </row>
    <row r="127" spans="1:2">
      <c r="A127" t="s">
        <v>1</v>
      </c>
      <c r="B127" t="s">
        <v>255</v>
      </c>
    </row>
    <row r="128" spans="1:2">
      <c r="A128" t="s">
        <v>1</v>
      </c>
      <c r="B128" t="s">
        <v>256</v>
      </c>
    </row>
    <row r="129" spans="1:2">
      <c r="A129" t="s">
        <v>1</v>
      </c>
      <c r="B129" t="s">
        <v>257</v>
      </c>
    </row>
    <row r="131" spans="1:11">
      <c r="A131" t="s">
        <v>1</v>
      </c>
      <c r="B131" t="s">
        <v>1</v>
      </c>
      <c r="C131" t="s">
        <v>1</v>
      </c>
      <c r="D131" t="s">
        <v>1</v>
      </c>
      <c r="E131" t="s">
        <v>1</v>
      </c>
      <c r="F131" t="s">
        <v>1</v>
      </c>
      <c r="G131" t="s">
        <v>1</v>
      </c>
      <c r="H131" t="s">
        <v>1</v>
      </c>
      <c r="I131" t="s">
        <v>1</v>
      </c>
      <c r="J131" t="s">
        <v>1</v>
      </c>
      <c r="K131" t="s">
        <v>1</v>
      </c>
    </row>
    <row r="132" spans="1:11">
      <c r="A132" t="s">
        <v>247</v>
      </c>
      <c r="B132" t="s">
        <v>248</v>
      </c>
      <c r="C132" t="s">
        <v>249</v>
      </c>
      <c r="D132" t="s">
        <v>250</v>
      </c>
      <c r="E132" t="s">
        <v>251</v>
      </c>
      <c r="F132" t="s">
        <v>252</v>
      </c>
      <c r="G132" t="s">
        <v>253</v>
      </c>
      <c r="H132" t="s">
        <v>254</v>
      </c>
      <c r="I132" t="s">
        <v>255</v>
      </c>
      <c r="J132" t="s">
        <v>256</v>
      </c>
      <c r="K132" t="s">
        <v>257</v>
      </c>
    </row>
    <row r="134" spans="1:2">
      <c r="A134" t="s">
        <v>36</v>
      </c>
      <c r="B134" t="s">
        <v>43</v>
      </c>
    </row>
    <row r="135" spans="1:2">
      <c r="A135" t="s">
        <v>36</v>
      </c>
      <c r="B135" t="s">
        <v>44</v>
      </c>
    </row>
    <row r="136" spans="1:2">
      <c r="A136" t="s">
        <v>37</v>
      </c>
      <c r="B136" t="s">
        <v>45</v>
      </c>
    </row>
    <row r="137" spans="1:2">
      <c r="A137" t="s">
        <v>38</v>
      </c>
      <c r="B137" t="s">
        <v>46</v>
      </c>
    </row>
    <row r="138" spans="1:2">
      <c r="A138" t="s">
        <v>39</v>
      </c>
      <c r="B138" t="s">
        <v>47</v>
      </c>
    </row>
    <row r="139" spans="1:2">
      <c r="A139" t="s">
        <v>40</v>
      </c>
      <c r="B139" t="s">
        <v>48</v>
      </c>
    </row>
    <row r="140" spans="1:2">
      <c r="A140" t="s">
        <v>41</v>
      </c>
      <c r="B140" t="s">
        <v>49</v>
      </c>
    </row>
    <row r="141" spans="1:2">
      <c r="A141" t="s">
        <v>41</v>
      </c>
      <c r="B141" t="s">
        <v>50</v>
      </c>
    </row>
    <row r="142" spans="1:2">
      <c r="A142" t="s">
        <v>42</v>
      </c>
      <c r="B142" t="s">
        <v>51</v>
      </c>
    </row>
    <row r="143" spans="1:2">
      <c r="A143" t="s">
        <v>42</v>
      </c>
      <c r="B143" t="s">
        <v>52</v>
      </c>
    </row>
    <row r="145" spans="1:10">
      <c r="A145" t="s">
        <v>36</v>
      </c>
      <c r="B145" t="s">
        <v>36</v>
      </c>
      <c r="C145" t="s">
        <v>37</v>
      </c>
      <c r="D145" t="s">
        <v>38</v>
      </c>
      <c r="E145" t="s">
        <v>39</v>
      </c>
      <c r="F145" t="s">
        <v>40</v>
      </c>
      <c r="G145" t="s">
        <v>41</v>
      </c>
      <c r="H145" t="s">
        <v>41</v>
      </c>
      <c r="I145" t="s">
        <v>42</v>
      </c>
      <c r="J145" t="s">
        <v>42</v>
      </c>
    </row>
    <row r="146" spans="1:10">
      <c r="A146" t="s">
        <v>43</v>
      </c>
      <c r="B146" t="s">
        <v>44</v>
      </c>
      <c r="C146" t="s">
        <v>45</v>
      </c>
      <c r="D146" t="s">
        <v>46</v>
      </c>
      <c r="E146" t="s">
        <v>47</v>
      </c>
      <c r="F146" t="s">
        <v>48</v>
      </c>
      <c r="G146" t="s">
        <v>49</v>
      </c>
      <c r="H146" t="s">
        <v>50</v>
      </c>
      <c r="I146" t="s">
        <v>51</v>
      </c>
      <c r="J146" t="s">
        <v>52</v>
      </c>
    </row>
    <row r="148" spans="1:2">
      <c r="A148" t="s">
        <v>36</v>
      </c>
      <c r="B148" t="s">
        <v>60</v>
      </c>
    </row>
    <row r="149" spans="1:2">
      <c r="A149" t="s">
        <v>36</v>
      </c>
      <c r="B149" t="s">
        <v>61</v>
      </c>
    </row>
    <row r="150" spans="1:2">
      <c r="A150" t="s">
        <v>38</v>
      </c>
      <c r="B150" t="s">
        <v>62</v>
      </c>
    </row>
    <row r="151" spans="1:2">
      <c r="A151" t="s">
        <v>38</v>
      </c>
      <c r="B151" t="s">
        <v>63</v>
      </c>
    </row>
    <row r="152" spans="1:2">
      <c r="A152" t="s">
        <v>40</v>
      </c>
      <c r="B152" t="s">
        <v>64</v>
      </c>
    </row>
    <row r="153" spans="1:2">
      <c r="A153" t="s">
        <v>40</v>
      </c>
      <c r="B153" t="s">
        <v>65</v>
      </c>
    </row>
    <row r="154" spans="1:2">
      <c r="A154" t="s">
        <v>42</v>
      </c>
      <c r="B154" t="s">
        <v>66</v>
      </c>
    </row>
    <row r="155" spans="1:2">
      <c r="A155" t="s">
        <v>42</v>
      </c>
      <c r="B155" t="s">
        <v>67</v>
      </c>
    </row>
    <row r="157" spans="1:8">
      <c r="A157" s="4" t="s">
        <v>36</v>
      </c>
      <c r="B157" s="4" t="s">
        <v>36</v>
      </c>
      <c r="C157" s="4" t="s">
        <v>38</v>
      </c>
      <c r="D157" s="4" t="s">
        <v>38</v>
      </c>
      <c r="E157" s="4" t="s">
        <v>40</v>
      </c>
      <c r="F157" s="4" t="s">
        <v>40</v>
      </c>
      <c r="G157" s="4" t="s">
        <v>42</v>
      </c>
      <c r="H157" s="4" t="s">
        <v>42</v>
      </c>
    </row>
    <row r="158" spans="1:8">
      <c r="A158" s="4" t="s">
        <v>60</v>
      </c>
      <c r="B158" s="4" t="s">
        <v>61</v>
      </c>
      <c r="C158" s="4" t="s">
        <v>62</v>
      </c>
      <c r="D158" s="4" t="s">
        <v>63</v>
      </c>
      <c r="E158" s="4" t="s">
        <v>64</v>
      </c>
      <c r="F158" s="4" t="s">
        <v>65</v>
      </c>
      <c r="G158" s="4" t="s">
        <v>66</v>
      </c>
      <c r="H158" s="4" t="s">
        <v>67</v>
      </c>
    </row>
    <row r="160" spans="1:2">
      <c r="A160" t="s">
        <v>1</v>
      </c>
      <c r="B160" t="s">
        <v>69</v>
      </c>
    </row>
    <row r="161" spans="1:2">
      <c r="A161" t="s">
        <v>1</v>
      </c>
      <c r="B161" t="s">
        <v>70</v>
      </c>
    </row>
    <row r="162" spans="1:2">
      <c r="A162" t="s">
        <v>1</v>
      </c>
      <c r="B162" t="s">
        <v>71</v>
      </c>
    </row>
    <row r="163" spans="1:2">
      <c r="A163" t="s">
        <v>1</v>
      </c>
      <c r="B163" t="s">
        <v>72</v>
      </c>
    </row>
    <row r="164" spans="1:2">
      <c r="A164" t="s">
        <v>1</v>
      </c>
      <c r="B164" t="s">
        <v>73</v>
      </c>
    </row>
    <row r="165" spans="1:2">
      <c r="A165" t="s">
        <v>1</v>
      </c>
      <c r="B165" t="s">
        <v>258</v>
      </c>
    </row>
    <row r="166" spans="1:2">
      <c r="A166" t="s">
        <v>1</v>
      </c>
      <c r="B166" t="s">
        <v>75</v>
      </c>
    </row>
    <row r="167" spans="1:2">
      <c r="A167" t="s">
        <v>1</v>
      </c>
      <c r="B167" t="s">
        <v>76</v>
      </c>
    </row>
    <row r="168" spans="1:2">
      <c r="A168" t="s">
        <v>1</v>
      </c>
      <c r="B168" t="s">
        <v>77</v>
      </c>
    </row>
    <row r="170" spans="1:9">
      <c r="A170" t="s">
        <v>1</v>
      </c>
      <c r="B170" t="s">
        <v>1</v>
      </c>
      <c r="C170" t="s">
        <v>1</v>
      </c>
      <c r="D170" t="s">
        <v>1</v>
      </c>
      <c r="E170" t="s">
        <v>1</v>
      </c>
      <c r="F170" t="s">
        <v>1</v>
      </c>
      <c r="G170" t="s">
        <v>1</v>
      </c>
      <c r="H170" t="s">
        <v>1</v>
      </c>
      <c r="I170" t="s">
        <v>1</v>
      </c>
    </row>
    <row r="171" spans="1:9">
      <c r="A171" t="s">
        <v>69</v>
      </c>
      <c r="B171" t="s">
        <v>70</v>
      </c>
      <c r="C171" t="s">
        <v>71</v>
      </c>
      <c r="D171" t="s">
        <v>72</v>
      </c>
      <c r="E171" t="s">
        <v>73</v>
      </c>
      <c r="F171" t="s">
        <v>258</v>
      </c>
      <c r="G171" t="s">
        <v>75</v>
      </c>
      <c r="H171" t="s">
        <v>76</v>
      </c>
      <c r="I171" t="s">
        <v>77</v>
      </c>
    </row>
    <row r="173" spans="1:2">
      <c r="A173" t="s">
        <v>79</v>
      </c>
      <c r="B173" t="s">
        <v>88</v>
      </c>
    </row>
    <row r="174" spans="1:2">
      <c r="A174" t="s">
        <v>80</v>
      </c>
      <c r="B174" t="s">
        <v>89</v>
      </c>
    </row>
    <row r="175" spans="1:2">
      <c r="A175" t="s">
        <v>81</v>
      </c>
      <c r="B175" t="s">
        <v>90</v>
      </c>
    </row>
    <row r="176" spans="1:2">
      <c r="A176" t="s">
        <v>82</v>
      </c>
      <c r="B176" t="s">
        <v>91</v>
      </c>
    </row>
    <row r="177" spans="1:2">
      <c r="A177" t="s">
        <v>83</v>
      </c>
      <c r="B177" t="s">
        <v>92</v>
      </c>
    </row>
    <row r="178" spans="1:2">
      <c r="A178" t="s">
        <v>84</v>
      </c>
      <c r="B178" t="s">
        <v>93</v>
      </c>
    </row>
    <row r="179" spans="1:2">
      <c r="A179" t="s">
        <v>85</v>
      </c>
      <c r="B179" t="s">
        <v>94</v>
      </c>
    </row>
    <row r="180" spans="1:2">
      <c r="A180" t="s">
        <v>86</v>
      </c>
      <c r="B180" t="s">
        <v>95</v>
      </c>
    </row>
    <row r="181" spans="1:2">
      <c r="A181" t="s">
        <v>87</v>
      </c>
      <c r="B181" t="s">
        <v>96</v>
      </c>
    </row>
    <row r="183" spans="1:9">
      <c r="A183" t="s">
        <v>79</v>
      </c>
      <c r="B183" t="s">
        <v>80</v>
      </c>
      <c r="C183" t="s">
        <v>81</v>
      </c>
      <c r="D183" t="s">
        <v>82</v>
      </c>
      <c r="E183" t="s">
        <v>83</v>
      </c>
      <c r="F183" t="s">
        <v>84</v>
      </c>
      <c r="G183" t="s">
        <v>85</v>
      </c>
      <c r="H183" t="s">
        <v>86</v>
      </c>
      <c r="I183" t="s">
        <v>87</v>
      </c>
    </row>
    <row r="184" spans="1:9">
      <c r="A184" t="s">
        <v>88</v>
      </c>
      <c r="B184" t="s">
        <v>89</v>
      </c>
      <c r="C184" t="s">
        <v>90</v>
      </c>
      <c r="D184" t="s">
        <v>91</v>
      </c>
      <c r="E184" t="s">
        <v>92</v>
      </c>
      <c r="F184" t="s">
        <v>93</v>
      </c>
      <c r="G184" t="s">
        <v>94</v>
      </c>
      <c r="H184" t="s">
        <v>95</v>
      </c>
      <c r="I184" t="s">
        <v>96</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2</vt:lpstr>
      <vt:lpstr>10</vt:lpstr>
      <vt:lpstr>11</vt:lpstr>
      <vt:lpstr>12</vt:lpstr>
      <vt:lpstr>13</vt:lpstr>
      <vt:lpstr>公式模板</vt:lpstr>
      <vt:lpstr>RD</vt:lpstr>
      <vt:lpstr>Sheet13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31066</dc:creator>
  <cp:lastModifiedBy>烟尘</cp:lastModifiedBy>
  <dcterms:created xsi:type="dcterms:W3CDTF">2021-02-21T04:39:00Z</dcterms:created>
  <dcterms:modified xsi:type="dcterms:W3CDTF">2021-09-06T09:13:20Z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2052-9.1.0.4994</vt:lpwstr>
  </property>
  <property fmtid="{D5CDD505-2E9C-101B-9397-08002B2CF9AE}" pid="3" name="ICV">
    <vt:lpwstr>5093B4A0DD4E4EA0805006E64C03EA2C</vt:lpwstr>
  </property>
</Properties>
</file>